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120" windowWidth="20640" windowHeight="9540" tabRatio="544" firstSheet="19" activeTab="19"/>
  </bookViews>
  <sheets>
    <sheet name="chi tiết 2021 Thương" sheetId="14" state="hidden" r:id="rId1"/>
    <sheet name="rà soát noi dung" sheetId="8" state="hidden" r:id="rId2"/>
    <sheet name="TH rút gọn (3)" sheetId="21" state="hidden" r:id="rId3"/>
    <sheet name="TH rút gon NVy covid (2)" sheetId="26" state="hidden" r:id="rId4"/>
    <sheet name="năm 2021 họp GĐ (phân bổ chíức)" sheetId="24" state="hidden" r:id="rId5"/>
    <sheet name="27,01,2021" sheetId="23" state="hidden" r:id="rId6"/>
    <sheet name="chi tiết (final)" sheetId="20" state="hidden" r:id="rId7"/>
    <sheet name="TH rút gon NVy covid" sheetId="19" state="hidden" r:id="rId8"/>
    <sheet name="Chi tiết" sheetId="15" state="hidden" r:id="rId9"/>
    <sheet name="TH đơn vị gửi" sheetId="10" state="hidden" r:id="rId10"/>
    <sheet name="Sheet1" sheetId="9" state="hidden" r:id="rId11"/>
    <sheet name="chi tiết 2021 9Nhi" sheetId="13" state="hidden" r:id="rId12"/>
    <sheet name="DT giao 2021" sheetId="11" state="hidden" r:id="rId13"/>
    <sheet name="chi khong thuong xuyen he du ph" sheetId="12" state="hidden" r:id="rId14"/>
    <sheet name="TH rút gọn" sheetId="16" state="hidden" r:id="rId15"/>
    <sheet name="TH rút gọn (2)" sheetId="17" state="hidden" r:id="rId16"/>
    <sheet name="Sheet4" sheetId="18" state="hidden" r:id="rId17"/>
    <sheet name="Sheet2" sheetId="22" state="hidden" r:id="rId18"/>
    <sheet name="Sheet6" sheetId="25" state="hidden" r:id="rId19"/>
    <sheet name="CHI TIET CHI CUC" sheetId="31" r:id="rId20"/>
    <sheet name="TUYEN HUYEN, TP" sheetId="32" r:id="rId21"/>
  </sheets>
  <externalReferences>
    <externalReference r:id="rId22"/>
    <externalReference r:id="rId23"/>
    <externalReference r:id="rId24"/>
  </externalReferences>
  <definedNames>
    <definedName name="___a1" hidden="1">{"'Sheet1'!$L$16"}</definedName>
    <definedName name="___a129" hidden="1">{"Offgrid",#N/A,FALSE,"OFFGRID";"Region",#N/A,FALSE,"REGION";"Offgrid -2",#N/A,FALSE,"OFFGRID";"WTP",#N/A,FALSE,"WTP";"WTP -2",#N/A,FALSE,"WTP";"Project",#N/A,FALSE,"PROJECT";"Summary -2",#N/A,FALSE,"SUMMARY"}</definedName>
    <definedName name="___a130" hidden="1">{"Offgrid",#N/A,FALSE,"OFFGRID";"Region",#N/A,FALSE,"REGION";"Offgrid -2",#N/A,FALSE,"OFFGRID";"WTP",#N/A,FALSE,"WTP";"WTP -2",#N/A,FALSE,"WTP";"Project",#N/A,FALSE,"PROJECT";"Summary -2",#N/A,FALSE,"SUMMARY"}</definedName>
    <definedName name="___ban2" hidden="1">{"'Sheet1'!$L$16"}</definedName>
    <definedName name="___cep1" hidden="1">{"'Sheet1'!$L$16"}</definedName>
    <definedName name="___Coc39" hidden="1">{"'Sheet1'!$L$16"}</definedName>
    <definedName name="___Goi8" hidden="1">{"'Sheet1'!$L$16"}</definedName>
    <definedName name="___h1" hidden="1">{"'Sheet1'!$L$16"}</definedName>
    <definedName name="___hu1" hidden="1">{"'Sheet1'!$L$16"}</definedName>
    <definedName name="___hu2" hidden="1">{"'Sheet1'!$L$16"}</definedName>
    <definedName name="___hu5" hidden="1">{"'Sheet1'!$L$16"}</definedName>
    <definedName name="___hu6" hidden="1">{"'Sheet1'!$L$16"}</definedName>
    <definedName name="___KH08" hidden="1">{#N/A,#N/A,FALSE,"Chi tiÆt"}</definedName>
    <definedName name="___Lan1" hidden="1">{"'Sheet1'!$L$16"}</definedName>
    <definedName name="___LAN3" hidden="1">{"'Sheet1'!$L$16"}</definedName>
    <definedName name="___lk2" hidden="1">{"'Sheet1'!$L$16"}</definedName>
    <definedName name="___M36" hidden="1">{"'Sheet1'!$L$16"}</definedName>
    <definedName name="___PA3" hidden="1">{"'Sheet1'!$L$16"}</definedName>
    <definedName name="___tt3" hidden="1">{"'Sheet1'!$L$16"}</definedName>
    <definedName name="___TT31" hidden="1">{"'Sheet1'!$L$16"}</definedName>
    <definedName name="___Tru21" hidden="1">{"'Sheet1'!$L$16"}</definedName>
    <definedName name="__a1" localSheetId="5" hidden="1">{"'Sheet1'!$L$16"}</definedName>
    <definedName name="__a1" localSheetId="13" hidden="1">{"'Sheet1'!$L$16"}</definedName>
    <definedName name="__a1" hidden="1">{"'Sheet1'!$L$16"}</definedName>
    <definedName name="__a129" localSheetId="5" hidden="1">{"Offgrid",#N/A,FALSE,"OFFGRID";"Region",#N/A,FALSE,"REGION";"Offgrid -2",#N/A,FALSE,"OFFGRID";"WTP",#N/A,FALSE,"WTP";"WTP -2",#N/A,FALSE,"WTP";"Project",#N/A,FALSE,"PROJECT";"Summary -2",#N/A,FALSE,"SUMMARY"}</definedName>
    <definedName name="__a129" localSheetId="13"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5" hidden="1">{"Offgrid",#N/A,FALSE,"OFFGRID";"Region",#N/A,FALSE,"REGION";"Offgrid -2",#N/A,FALSE,"OFFGRID";"WTP",#N/A,FALSE,"WTP";"WTP -2",#N/A,FALSE,"WTP";"Project",#N/A,FALSE,"PROJECT";"Summary -2",#N/A,FALSE,"SUMMARY"}</definedName>
    <definedName name="__a130" localSheetId="13"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an2" localSheetId="5" hidden="1">{"'Sheet1'!$L$16"}</definedName>
    <definedName name="__ban2" localSheetId="13" hidden="1">{"'Sheet1'!$L$16"}</definedName>
    <definedName name="__ban2" hidden="1">{"'Sheet1'!$L$16"}</definedName>
    <definedName name="__boi1" localSheetId="5">#REF!</definedName>
    <definedName name="__boi1" localSheetId="19">#REF!</definedName>
    <definedName name="__boi1" localSheetId="3">#REF!</definedName>
    <definedName name="__boi1">#REF!</definedName>
    <definedName name="__boi2" localSheetId="5">#REF!</definedName>
    <definedName name="__boi2" localSheetId="19">#REF!</definedName>
    <definedName name="__boi2" localSheetId="3">#REF!</definedName>
    <definedName name="__boi2">#REF!</definedName>
    <definedName name="__boi3" localSheetId="5">#REF!</definedName>
    <definedName name="__boi3" localSheetId="19">#REF!</definedName>
    <definedName name="__boi3" localSheetId="3">#REF!</definedName>
    <definedName name="__boi3">#REF!</definedName>
    <definedName name="__boi4" localSheetId="5">#REF!</definedName>
    <definedName name="__boi4" localSheetId="19">#REF!</definedName>
    <definedName name="__boi4" localSheetId="3">#REF!</definedName>
    <definedName name="__boi4">#REF!</definedName>
    <definedName name="__btm10" localSheetId="5">#REF!</definedName>
    <definedName name="__btm10" localSheetId="19">#REF!</definedName>
    <definedName name="__btm10" localSheetId="3">#REF!</definedName>
    <definedName name="__btm10">#REF!</definedName>
    <definedName name="__btm100" localSheetId="5">#REF!</definedName>
    <definedName name="__btm100" localSheetId="19">#REF!</definedName>
    <definedName name="__btm100" localSheetId="3">#REF!</definedName>
    <definedName name="__btm100">#REF!</definedName>
    <definedName name="__BTM250" localSheetId="5">#REF!</definedName>
    <definedName name="__BTM250" localSheetId="19">#REF!</definedName>
    <definedName name="__BTM250" localSheetId="3">#REF!</definedName>
    <definedName name="__BTM250">#REF!</definedName>
    <definedName name="__btM300" localSheetId="5">#REF!</definedName>
    <definedName name="__btM300" localSheetId="19">#REF!</definedName>
    <definedName name="__btM300" localSheetId="3">#REF!</definedName>
    <definedName name="__btM300">#REF!</definedName>
    <definedName name="__cao1" localSheetId="5">#REF!</definedName>
    <definedName name="__cao1" localSheetId="19">#REF!</definedName>
    <definedName name="__cao1" localSheetId="3">#REF!</definedName>
    <definedName name="__cao1">#REF!</definedName>
    <definedName name="__cao2" localSheetId="5">#REF!</definedName>
    <definedName name="__cao2" localSheetId="19">#REF!</definedName>
    <definedName name="__cao2" localSheetId="3">#REF!</definedName>
    <definedName name="__cao2">#REF!</definedName>
    <definedName name="__cao3" localSheetId="5">#REF!</definedName>
    <definedName name="__cao3" localSheetId="19">#REF!</definedName>
    <definedName name="__cao3" localSheetId="3">#REF!</definedName>
    <definedName name="__cao3">#REF!</definedName>
    <definedName name="__cao4" localSheetId="5">#REF!</definedName>
    <definedName name="__cao4" localSheetId="19">#REF!</definedName>
    <definedName name="__cao4" localSheetId="3">#REF!</definedName>
    <definedName name="__cao4">#REF!</definedName>
    <definedName name="__cao5" localSheetId="5">#REF!</definedName>
    <definedName name="__cao5" localSheetId="19">#REF!</definedName>
    <definedName name="__cao5" localSheetId="3">#REF!</definedName>
    <definedName name="__cao5">#REF!</definedName>
    <definedName name="__cao6" localSheetId="5">#REF!</definedName>
    <definedName name="__cao6" localSheetId="19">#REF!</definedName>
    <definedName name="__cao6" localSheetId="3">#REF!</definedName>
    <definedName name="__cao6">#REF!</definedName>
    <definedName name="__cep1" localSheetId="5" hidden="1">{"'Sheet1'!$L$16"}</definedName>
    <definedName name="__cep1" localSheetId="13" hidden="1">{"'Sheet1'!$L$16"}</definedName>
    <definedName name="__cep1" hidden="1">{"'Sheet1'!$L$16"}</definedName>
    <definedName name="__Coc39" localSheetId="5" hidden="1">{"'Sheet1'!$L$16"}</definedName>
    <definedName name="__Coc39" localSheetId="13" hidden="1">{"'Sheet1'!$L$16"}</definedName>
    <definedName name="__Coc39" hidden="1">{"'Sheet1'!$L$16"}</definedName>
    <definedName name="__CON1" localSheetId="5">#REF!</definedName>
    <definedName name="__CON1" localSheetId="19">#REF!</definedName>
    <definedName name="__CON1" localSheetId="3">#REF!</definedName>
    <definedName name="__CON1">#REF!</definedName>
    <definedName name="__CON2" localSheetId="5">#REF!</definedName>
    <definedName name="__CON2" localSheetId="19">#REF!</definedName>
    <definedName name="__CON2" localSheetId="3">#REF!</definedName>
    <definedName name="__CON2">#REF!</definedName>
    <definedName name="__dai1" localSheetId="5">#REF!</definedName>
    <definedName name="__dai1" localSheetId="19">#REF!</definedName>
    <definedName name="__dai1" localSheetId="3">#REF!</definedName>
    <definedName name="__dai1">#REF!</definedName>
    <definedName name="__dai2" localSheetId="5">#REF!</definedName>
    <definedName name="__dai2" localSheetId="19">#REF!</definedName>
    <definedName name="__dai2" localSheetId="3">#REF!</definedName>
    <definedName name="__dai2">#REF!</definedName>
    <definedName name="__dai3" localSheetId="5">#REF!</definedName>
    <definedName name="__dai3" localSheetId="19">#REF!</definedName>
    <definedName name="__dai3" localSheetId="3">#REF!</definedName>
    <definedName name="__dai3">#REF!</definedName>
    <definedName name="__dai4" localSheetId="5">#REF!</definedName>
    <definedName name="__dai4" localSheetId="19">#REF!</definedName>
    <definedName name="__dai4" localSheetId="3">#REF!</definedName>
    <definedName name="__dai4">#REF!</definedName>
    <definedName name="__dai5" localSheetId="5">#REF!</definedName>
    <definedName name="__dai5" localSheetId="19">#REF!</definedName>
    <definedName name="__dai5" localSheetId="3">#REF!</definedName>
    <definedName name="__dai5">#REF!</definedName>
    <definedName name="__dai6" localSheetId="5">#REF!</definedName>
    <definedName name="__dai6" localSheetId="19">#REF!</definedName>
    <definedName name="__dai6" localSheetId="3">#REF!</definedName>
    <definedName name="__dai6">#REF!</definedName>
    <definedName name="__dan1" localSheetId="5">#REF!</definedName>
    <definedName name="__dan1" localSheetId="19">#REF!</definedName>
    <definedName name="__dan1" localSheetId="3">#REF!</definedName>
    <definedName name="__dan1">#REF!</definedName>
    <definedName name="__dan2" localSheetId="5">#REF!</definedName>
    <definedName name="__dan2" localSheetId="19">#REF!</definedName>
    <definedName name="__dan2" localSheetId="3">#REF!</definedName>
    <definedName name="__dan2">#REF!</definedName>
    <definedName name="__dao1" localSheetId="5">#REF!</definedName>
    <definedName name="__dao1" localSheetId="19">#REF!</definedName>
    <definedName name="__dao1" localSheetId="3">#REF!</definedName>
    <definedName name="__dao1">#REF!</definedName>
    <definedName name="__dbu1" localSheetId="5">#REF!</definedName>
    <definedName name="__dbu1" localSheetId="19">#REF!</definedName>
    <definedName name="__dbu1" localSheetId="3">#REF!</definedName>
    <definedName name="__dbu1">#REF!</definedName>
    <definedName name="__dbu2" localSheetId="5">#REF!</definedName>
    <definedName name="__dbu2" localSheetId="19">#REF!</definedName>
    <definedName name="__dbu2" localSheetId="3">#REF!</definedName>
    <definedName name="__dbu2">#REF!</definedName>
    <definedName name="__ddn400" localSheetId="5">#REF!</definedName>
    <definedName name="__ddn400" localSheetId="19">#REF!</definedName>
    <definedName name="__ddn400" localSheetId="3">#REF!</definedName>
    <definedName name="__ddn400">#REF!</definedName>
    <definedName name="__ddn600" localSheetId="5">#REF!</definedName>
    <definedName name="__ddn600" localSheetId="19">#REF!</definedName>
    <definedName name="__ddn600" localSheetId="3">#REF!</definedName>
    <definedName name="__ddn600">#REF!</definedName>
    <definedName name="__Goi8" localSheetId="5" hidden="1">{"'Sheet1'!$L$16"}</definedName>
    <definedName name="__Goi8" localSheetId="13" hidden="1">{"'Sheet1'!$L$16"}</definedName>
    <definedName name="__Goi8" hidden="1">{"'Sheet1'!$L$16"}</definedName>
    <definedName name="__gon4" localSheetId="5">#REF!</definedName>
    <definedName name="__gon4" localSheetId="19">#REF!</definedName>
    <definedName name="__gon4" localSheetId="3">#REF!</definedName>
    <definedName name="__gon4">#REF!</definedName>
    <definedName name="__h1" localSheetId="5" hidden="1">{"'Sheet1'!$L$16"}</definedName>
    <definedName name="__h1" localSheetId="13" hidden="1">{"'Sheet1'!$L$16"}</definedName>
    <definedName name="__h1" hidden="1">{"'Sheet1'!$L$16"}</definedName>
    <definedName name="__hom2" localSheetId="5">#REF!</definedName>
    <definedName name="__hom2" localSheetId="19">#REF!</definedName>
    <definedName name="__hom2" localSheetId="3">#REF!</definedName>
    <definedName name="__hom2">#REF!</definedName>
    <definedName name="__hu1" localSheetId="5" hidden="1">{"'Sheet1'!$L$16"}</definedName>
    <definedName name="__hu1" localSheetId="13" hidden="1">{"'Sheet1'!$L$16"}</definedName>
    <definedName name="__hu1" hidden="1">{"'Sheet1'!$L$16"}</definedName>
    <definedName name="__hu2" localSheetId="5" hidden="1">{"'Sheet1'!$L$16"}</definedName>
    <definedName name="__hu2" localSheetId="13" hidden="1">{"'Sheet1'!$L$16"}</definedName>
    <definedName name="__hu2" hidden="1">{"'Sheet1'!$L$16"}</definedName>
    <definedName name="__hu5" localSheetId="5" hidden="1">{"'Sheet1'!$L$16"}</definedName>
    <definedName name="__hu5" localSheetId="13" hidden="1">{"'Sheet1'!$L$16"}</definedName>
    <definedName name="__hu5" hidden="1">{"'Sheet1'!$L$16"}</definedName>
    <definedName name="__hu6" localSheetId="5" hidden="1">{"'Sheet1'!$L$16"}</definedName>
    <definedName name="__hu6" localSheetId="13" hidden="1">{"'Sheet1'!$L$16"}</definedName>
    <definedName name="__hu6" hidden="1">{"'Sheet1'!$L$16"}</definedName>
    <definedName name="__KM188" localSheetId="5">#REF!</definedName>
    <definedName name="__KM188" localSheetId="19">#REF!</definedName>
    <definedName name="__KM188" localSheetId="3">#REF!</definedName>
    <definedName name="__KM188">#REF!</definedName>
    <definedName name="__km189" localSheetId="5">#REF!</definedName>
    <definedName name="__km189" localSheetId="19">#REF!</definedName>
    <definedName name="__km189" localSheetId="3">#REF!</definedName>
    <definedName name="__km189">#REF!</definedName>
    <definedName name="__km190" localSheetId="5">#REF!</definedName>
    <definedName name="__km190" localSheetId="19">#REF!</definedName>
    <definedName name="__km190" localSheetId="3">#REF!</definedName>
    <definedName name="__km190">#REF!</definedName>
    <definedName name="__km191" localSheetId="5">#REF!</definedName>
    <definedName name="__km191" localSheetId="19">#REF!</definedName>
    <definedName name="__km191" localSheetId="3">#REF!</definedName>
    <definedName name="__km191">#REF!</definedName>
    <definedName name="__km192" localSheetId="5">#REF!</definedName>
    <definedName name="__km192" localSheetId="19">#REF!</definedName>
    <definedName name="__km192" localSheetId="3">#REF!</definedName>
    <definedName name="__km192">#REF!</definedName>
    <definedName name="__km193" localSheetId="5">#REF!</definedName>
    <definedName name="__km193" localSheetId="19">#REF!</definedName>
    <definedName name="__km193" localSheetId="3">#REF!</definedName>
    <definedName name="__km193">#REF!</definedName>
    <definedName name="__km194" localSheetId="5">#REF!</definedName>
    <definedName name="__km194" localSheetId="19">#REF!</definedName>
    <definedName name="__km194" localSheetId="3">#REF!</definedName>
    <definedName name="__km194">#REF!</definedName>
    <definedName name="__km195" localSheetId="5">#REF!</definedName>
    <definedName name="__km195" localSheetId="19">#REF!</definedName>
    <definedName name="__km195" localSheetId="3">#REF!</definedName>
    <definedName name="__km195">#REF!</definedName>
    <definedName name="__km196" localSheetId="5">#REF!</definedName>
    <definedName name="__km196" localSheetId="19">#REF!</definedName>
    <definedName name="__km196" localSheetId="3">#REF!</definedName>
    <definedName name="__km196">#REF!</definedName>
    <definedName name="__km197" localSheetId="5">#REF!</definedName>
    <definedName name="__km197" localSheetId="19">#REF!</definedName>
    <definedName name="__km197" localSheetId="3">#REF!</definedName>
    <definedName name="__km197">#REF!</definedName>
    <definedName name="__km198" localSheetId="5">#REF!</definedName>
    <definedName name="__km198" localSheetId="19">#REF!</definedName>
    <definedName name="__km198" localSheetId="3">#REF!</definedName>
    <definedName name="__km198">#REF!</definedName>
    <definedName name="__KH08" localSheetId="5" hidden="1">{#N/A,#N/A,FALSE,"Chi tiÆt"}</definedName>
    <definedName name="__KH08" localSheetId="13" hidden="1">{#N/A,#N/A,FALSE,"Chi tiÆt"}</definedName>
    <definedName name="__KH08" hidden="1">{#N/A,#N/A,FALSE,"Chi tiÆt"}</definedName>
    <definedName name="__Lan1" localSheetId="5" hidden="1">{"'Sheet1'!$L$16"}</definedName>
    <definedName name="__Lan1" localSheetId="13" hidden="1">{"'Sheet1'!$L$16"}</definedName>
    <definedName name="__Lan1" hidden="1">{"'Sheet1'!$L$16"}</definedName>
    <definedName name="__LAN3" localSheetId="5" hidden="1">{"'Sheet1'!$L$16"}</definedName>
    <definedName name="__LAN3" localSheetId="13" hidden="1">{"'Sheet1'!$L$16"}</definedName>
    <definedName name="__LAN3" hidden="1">{"'Sheet1'!$L$16"}</definedName>
    <definedName name="__lap1" localSheetId="5">#REF!</definedName>
    <definedName name="__lap1" localSheetId="19">#REF!</definedName>
    <definedName name="__lap1" localSheetId="3">#REF!</definedName>
    <definedName name="__lap1">#REF!</definedName>
    <definedName name="__lap2" localSheetId="5">#REF!</definedName>
    <definedName name="__lap2" localSheetId="19">#REF!</definedName>
    <definedName name="__lap2" localSheetId="3">#REF!</definedName>
    <definedName name="__lap2">#REF!</definedName>
    <definedName name="__lk2" localSheetId="5" hidden="1">{"'Sheet1'!$L$16"}</definedName>
    <definedName name="__lk2" localSheetId="13" hidden="1">{"'Sheet1'!$L$16"}</definedName>
    <definedName name="__lk2" hidden="1">{"'Sheet1'!$L$16"}</definedName>
    <definedName name="__M36" localSheetId="5" hidden="1">{"'Sheet1'!$L$16"}</definedName>
    <definedName name="__M36" localSheetId="13" hidden="1">{"'Sheet1'!$L$16"}</definedName>
    <definedName name="__M36" hidden="1">{"'Sheet1'!$L$16"}</definedName>
    <definedName name="__MAC12" localSheetId="5">#REF!</definedName>
    <definedName name="__MAC12" localSheetId="19">#REF!</definedName>
    <definedName name="__MAC12" localSheetId="3">#REF!</definedName>
    <definedName name="__MAC12">#REF!</definedName>
    <definedName name="__MAC46" localSheetId="5">#REF!</definedName>
    <definedName name="__MAC46" localSheetId="19">#REF!</definedName>
    <definedName name="__MAC46" localSheetId="3">#REF!</definedName>
    <definedName name="__MAC46">#REF!</definedName>
    <definedName name="__NCL100" localSheetId="5">#REF!</definedName>
    <definedName name="__NCL100" localSheetId="19">#REF!</definedName>
    <definedName name="__NCL100" localSheetId="3">#REF!</definedName>
    <definedName name="__NCL100">#REF!</definedName>
    <definedName name="__NCL200" localSheetId="5">#REF!</definedName>
    <definedName name="__NCL200" localSheetId="19">#REF!</definedName>
    <definedName name="__NCL200" localSheetId="3">#REF!</definedName>
    <definedName name="__NCL200">#REF!</definedName>
    <definedName name="__NCL250" localSheetId="5">#REF!</definedName>
    <definedName name="__NCL250" localSheetId="19">#REF!</definedName>
    <definedName name="__NCL250" localSheetId="3">#REF!</definedName>
    <definedName name="__NCL250">#REF!</definedName>
    <definedName name="__NET2" localSheetId="5">#REF!</definedName>
    <definedName name="__NET2" localSheetId="19">#REF!</definedName>
    <definedName name="__NET2" localSheetId="3">#REF!</definedName>
    <definedName name="__NET2">#REF!</definedName>
    <definedName name="__nin190" localSheetId="5">#REF!</definedName>
    <definedName name="__nin190" localSheetId="19">#REF!</definedName>
    <definedName name="__nin190" localSheetId="3">#REF!</definedName>
    <definedName name="__nin190">#REF!</definedName>
    <definedName name="__NSO2" hidden="1">{"'Sheet1'!$L$16"}</definedName>
    <definedName name="__PA3" localSheetId="5" hidden="1">{"'Sheet1'!$L$16"}</definedName>
    <definedName name="__PA3" localSheetId="13" hidden="1">{"'Sheet1'!$L$16"}</definedName>
    <definedName name="__PA3" hidden="1">{"'Sheet1'!$L$16"}</definedName>
    <definedName name="__PL1242" localSheetId="5">#REF!</definedName>
    <definedName name="__PL1242" localSheetId="19">#REF!</definedName>
    <definedName name="__PL1242" localSheetId="3">#REF!</definedName>
    <definedName name="__PL1242">#REF!</definedName>
    <definedName name="__phi10" localSheetId="5">#REF!</definedName>
    <definedName name="__phi10" localSheetId="19">#REF!</definedName>
    <definedName name="__phi10" localSheetId="3">#REF!</definedName>
    <definedName name="__phi10">#REF!</definedName>
    <definedName name="__phi12" localSheetId="5">#REF!</definedName>
    <definedName name="__phi12" localSheetId="19">#REF!</definedName>
    <definedName name="__phi12" localSheetId="3">#REF!</definedName>
    <definedName name="__phi12">#REF!</definedName>
    <definedName name="__phi14" localSheetId="5">#REF!</definedName>
    <definedName name="__phi14" localSheetId="19">#REF!</definedName>
    <definedName name="__phi14" localSheetId="3">#REF!</definedName>
    <definedName name="__phi14">#REF!</definedName>
    <definedName name="__phi16" localSheetId="5">#REF!</definedName>
    <definedName name="__phi16" localSheetId="19">#REF!</definedName>
    <definedName name="__phi16" localSheetId="3">#REF!</definedName>
    <definedName name="__phi16">#REF!</definedName>
    <definedName name="__phi18" localSheetId="5">#REF!</definedName>
    <definedName name="__phi18" localSheetId="19">#REF!</definedName>
    <definedName name="__phi18" localSheetId="3">#REF!</definedName>
    <definedName name="__phi18">#REF!</definedName>
    <definedName name="__phi20" localSheetId="5">#REF!</definedName>
    <definedName name="__phi20" localSheetId="19">#REF!</definedName>
    <definedName name="__phi20" localSheetId="3">#REF!</definedName>
    <definedName name="__phi20">#REF!</definedName>
    <definedName name="__phi22" localSheetId="5">#REF!</definedName>
    <definedName name="__phi22" localSheetId="19">#REF!</definedName>
    <definedName name="__phi22" localSheetId="3">#REF!</definedName>
    <definedName name="__phi22">#REF!</definedName>
    <definedName name="__phi25" localSheetId="5">#REF!</definedName>
    <definedName name="__phi25" localSheetId="19">#REF!</definedName>
    <definedName name="__phi25" localSheetId="3">#REF!</definedName>
    <definedName name="__phi25">#REF!</definedName>
    <definedName name="__phi28" localSheetId="5">#REF!</definedName>
    <definedName name="__phi28" localSheetId="19">#REF!</definedName>
    <definedName name="__phi28" localSheetId="3">#REF!</definedName>
    <definedName name="__phi28">#REF!</definedName>
    <definedName name="__phi6" localSheetId="5">#REF!</definedName>
    <definedName name="__phi6" localSheetId="19">#REF!</definedName>
    <definedName name="__phi6" localSheetId="3">#REF!</definedName>
    <definedName name="__phi6">#REF!</definedName>
    <definedName name="__phi8" localSheetId="5">#REF!</definedName>
    <definedName name="__phi8" localSheetId="19">#REF!</definedName>
    <definedName name="__phi8" localSheetId="3">#REF!</definedName>
    <definedName name="__phi8">#REF!</definedName>
    <definedName name="__sat10" localSheetId="5">#REF!</definedName>
    <definedName name="__sat10" localSheetId="19">#REF!</definedName>
    <definedName name="__sat10" localSheetId="3">#REF!</definedName>
    <definedName name="__sat10">#REF!</definedName>
    <definedName name="__sat14" localSheetId="5">#REF!</definedName>
    <definedName name="__sat14" localSheetId="19">#REF!</definedName>
    <definedName name="__sat14" localSheetId="3">#REF!</definedName>
    <definedName name="__sat14">#REF!</definedName>
    <definedName name="__sat16" localSheetId="5">#REF!</definedName>
    <definedName name="__sat16" localSheetId="19">#REF!</definedName>
    <definedName name="__sat16" localSheetId="3">#REF!</definedName>
    <definedName name="__sat16">#REF!</definedName>
    <definedName name="__sat20" localSheetId="5">#REF!</definedName>
    <definedName name="__sat20" localSheetId="19">#REF!</definedName>
    <definedName name="__sat20" localSheetId="3">#REF!</definedName>
    <definedName name="__sat20">#REF!</definedName>
    <definedName name="__sat8" localSheetId="5">#REF!</definedName>
    <definedName name="__sat8" localSheetId="19">#REF!</definedName>
    <definedName name="__sat8" localSheetId="3">#REF!</definedName>
    <definedName name="__sat8">#REF!</definedName>
    <definedName name="__sc1" localSheetId="5">#REF!</definedName>
    <definedName name="__sc1" localSheetId="19">#REF!</definedName>
    <definedName name="__sc1" localSheetId="3">#REF!</definedName>
    <definedName name="__sc1">#REF!</definedName>
    <definedName name="__SC2" localSheetId="5">#REF!</definedName>
    <definedName name="__SC2" localSheetId="19">#REF!</definedName>
    <definedName name="__SC2" localSheetId="3">#REF!</definedName>
    <definedName name="__SC2">#REF!</definedName>
    <definedName name="__sc3" localSheetId="5">#REF!</definedName>
    <definedName name="__sc3" localSheetId="19">#REF!</definedName>
    <definedName name="__sc3" localSheetId="3">#REF!</definedName>
    <definedName name="__sc3">#REF!</definedName>
    <definedName name="__slg1" localSheetId="5">#REF!</definedName>
    <definedName name="__slg1" localSheetId="19">#REF!</definedName>
    <definedName name="__slg1" localSheetId="3">#REF!</definedName>
    <definedName name="__slg1">#REF!</definedName>
    <definedName name="__slg2" localSheetId="5">#REF!</definedName>
    <definedName name="__slg2" localSheetId="19">#REF!</definedName>
    <definedName name="__slg2" localSheetId="3">#REF!</definedName>
    <definedName name="__slg2">#REF!</definedName>
    <definedName name="__slg3" localSheetId="5">#REF!</definedName>
    <definedName name="__slg3" localSheetId="19">#REF!</definedName>
    <definedName name="__slg3" localSheetId="3">#REF!</definedName>
    <definedName name="__slg3">#REF!</definedName>
    <definedName name="__slg4" localSheetId="5">#REF!</definedName>
    <definedName name="__slg4" localSheetId="19">#REF!</definedName>
    <definedName name="__slg4" localSheetId="3">#REF!</definedName>
    <definedName name="__slg4">#REF!</definedName>
    <definedName name="__slg5" localSheetId="5">#REF!</definedName>
    <definedName name="__slg5" localSheetId="19">#REF!</definedName>
    <definedName name="__slg5" localSheetId="3">#REF!</definedName>
    <definedName name="__slg5">#REF!</definedName>
    <definedName name="__slg6" localSheetId="5">#REF!</definedName>
    <definedName name="__slg6" localSheetId="19">#REF!</definedName>
    <definedName name="__slg6" localSheetId="3">#REF!</definedName>
    <definedName name="__slg6">#REF!</definedName>
    <definedName name="__SN3" localSheetId="5">#REF!</definedName>
    <definedName name="__SN3" localSheetId="19">#REF!</definedName>
    <definedName name="__SN3" localSheetId="3">#REF!</definedName>
    <definedName name="__SN3">#REF!</definedName>
    <definedName name="__sua20" localSheetId="5">#REF!</definedName>
    <definedName name="__sua20" localSheetId="19">#REF!</definedName>
    <definedName name="__sua20" localSheetId="3">#REF!</definedName>
    <definedName name="__sua20">#REF!</definedName>
    <definedName name="__sua30" localSheetId="5">#REF!</definedName>
    <definedName name="__sua30" localSheetId="19">#REF!</definedName>
    <definedName name="__sua30" localSheetId="3">#REF!</definedName>
    <definedName name="__sua30">#REF!</definedName>
    <definedName name="__TB1" localSheetId="5">#REF!</definedName>
    <definedName name="__TB1" localSheetId="19">#REF!</definedName>
    <definedName name="__TB1" localSheetId="3">#REF!</definedName>
    <definedName name="__TB1">#REF!</definedName>
    <definedName name="__TL1" localSheetId="5">#REF!</definedName>
    <definedName name="__TL1" localSheetId="19">#REF!</definedName>
    <definedName name="__TL1" localSheetId="3">#REF!</definedName>
    <definedName name="__TL1">#REF!</definedName>
    <definedName name="__TL2" localSheetId="5">#REF!</definedName>
    <definedName name="__TL2" localSheetId="19">#REF!</definedName>
    <definedName name="__TL2" localSheetId="3">#REF!</definedName>
    <definedName name="__TL2">#REF!</definedName>
    <definedName name="__TL3" localSheetId="5">#REF!</definedName>
    <definedName name="__TL3" localSheetId="19">#REF!</definedName>
    <definedName name="__TL3" localSheetId="3">#REF!</definedName>
    <definedName name="__TL3">#REF!</definedName>
    <definedName name="__TLA120" localSheetId="5">#REF!</definedName>
    <definedName name="__TLA120" localSheetId="19">#REF!</definedName>
    <definedName name="__TLA120" localSheetId="3">#REF!</definedName>
    <definedName name="__TLA120">#REF!</definedName>
    <definedName name="__TLA35" localSheetId="5">#REF!</definedName>
    <definedName name="__TLA35" localSheetId="19">#REF!</definedName>
    <definedName name="__TLA35" localSheetId="3">#REF!</definedName>
    <definedName name="__TLA35">#REF!</definedName>
    <definedName name="__TLA50" localSheetId="5">#REF!</definedName>
    <definedName name="__TLA50" localSheetId="19">#REF!</definedName>
    <definedName name="__TLA50" localSheetId="3">#REF!</definedName>
    <definedName name="__TLA50">#REF!</definedName>
    <definedName name="__TLA70" localSheetId="5">#REF!</definedName>
    <definedName name="__TLA70" localSheetId="19">#REF!</definedName>
    <definedName name="__TLA70" localSheetId="3">#REF!</definedName>
    <definedName name="__TLA70">#REF!</definedName>
    <definedName name="__TLA95" localSheetId="5">#REF!</definedName>
    <definedName name="__TLA95" localSheetId="19">#REF!</definedName>
    <definedName name="__TLA95" localSheetId="3">#REF!</definedName>
    <definedName name="__TLA95">#REF!</definedName>
    <definedName name="__tt3" localSheetId="5" hidden="1">{"'Sheet1'!$L$16"}</definedName>
    <definedName name="__tt3" localSheetId="13" hidden="1">{"'Sheet1'!$L$16"}</definedName>
    <definedName name="__tt3" hidden="1">{"'Sheet1'!$L$16"}</definedName>
    <definedName name="__TT31" localSheetId="5" hidden="1">{"'Sheet1'!$L$16"}</definedName>
    <definedName name="__TT31" localSheetId="13" hidden="1">{"'Sheet1'!$L$16"}</definedName>
    <definedName name="__TT31" hidden="1">{"'Sheet1'!$L$16"}</definedName>
    <definedName name="__TH1" localSheetId="5">#REF!</definedName>
    <definedName name="__TH1" localSheetId="19">#REF!</definedName>
    <definedName name="__TH1" localSheetId="3">#REF!</definedName>
    <definedName name="__TH1">#REF!</definedName>
    <definedName name="__TH2" localSheetId="5">#REF!</definedName>
    <definedName name="__TH2" localSheetId="19">#REF!</definedName>
    <definedName name="__TH2" localSheetId="3">#REF!</definedName>
    <definedName name="__TH2">#REF!</definedName>
    <definedName name="__TH3" localSheetId="5">#REF!</definedName>
    <definedName name="__TH3" localSheetId="19">#REF!</definedName>
    <definedName name="__TH3" localSheetId="3">#REF!</definedName>
    <definedName name="__TH3">#REF!</definedName>
    <definedName name="__Tru21" localSheetId="5" hidden="1">{"'Sheet1'!$L$16"}</definedName>
    <definedName name="__Tru21" localSheetId="13" hidden="1">{"'Sheet1'!$L$16"}</definedName>
    <definedName name="__Tru21" hidden="1">{"'Sheet1'!$L$16"}</definedName>
    <definedName name="__vc1" localSheetId="5">#REF!</definedName>
    <definedName name="__vc1" localSheetId="19">#REF!</definedName>
    <definedName name="__vc1" localSheetId="3">#REF!</definedName>
    <definedName name="__vc1">#REF!</definedName>
    <definedName name="__vc2" localSheetId="5">#REF!</definedName>
    <definedName name="__vc2" localSheetId="19">#REF!</definedName>
    <definedName name="__vc2" localSheetId="3">#REF!</definedName>
    <definedName name="__vc2">#REF!</definedName>
    <definedName name="__vc3" localSheetId="5">#REF!</definedName>
    <definedName name="__vc3" localSheetId="19">#REF!</definedName>
    <definedName name="__vc3" localSheetId="3">#REF!</definedName>
    <definedName name="__vc3">#REF!</definedName>
    <definedName name="__VL100" localSheetId="5">#REF!</definedName>
    <definedName name="__VL100" localSheetId="19">#REF!</definedName>
    <definedName name="__VL100" localSheetId="3">#REF!</definedName>
    <definedName name="__VL100">#REF!</definedName>
    <definedName name="__vl2" hidden="1">{"'Sheet1'!$L$16"}</definedName>
    <definedName name="__VL250" localSheetId="5">#REF!</definedName>
    <definedName name="__VL250" localSheetId="19">#REF!</definedName>
    <definedName name="__VL250" localSheetId="3">#REF!</definedName>
    <definedName name="__VL250">#REF!</definedName>
    <definedName name="_1">#N/A</definedName>
    <definedName name="_1000A01">#N/A</definedName>
    <definedName name="_2">#N/A</definedName>
    <definedName name="_40x4">5100</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ban2" hidden="1">{"'Sheet1'!$L$16"}</definedName>
    <definedName name="_boi1" localSheetId="5">#REF!</definedName>
    <definedName name="_boi1" localSheetId="19">#REF!</definedName>
    <definedName name="_boi1" localSheetId="3">#REF!</definedName>
    <definedName name="_boi1">#REF!</definedName>
    <definedName name="_boi2" localSheetId="5">#REF!</definedName>
    <definedName name="_boi2" localSheetId="19">#REF!</definedName>
    <definedName name="_boi2" localSheetId="3">#REF!</definedName>
    <definedName name="_boi2">#REF!</definedName>
    <definedName name="_boi3" localSheetId="5">#REF!</definedName>
    <definedName name="_boi3" localSheetId="19">#REF!</definedName>
    <definedName name="_boi3" localSheetId="3">#REF!</definedName>
    <definedName name="_boi3">#REF!</definedName>
    <definedName name="_boi4" localSheetId="5">#REF!</definedName>
    <definedName name="_boi4" localSheetId="19">#REF!</definedName>
    <definedName name="_boi4" localSheetId="3">#REF!</definedName>
    <definedName name="_boi4">#REF!</definedName>
    <definedName name="_btm10" localSheetId="5">#REF!</definedName>
    <definedName name="_btm10" localSheetId="19">#REF!</definedName>
    <definedName name="_btm10" localSheetId="3">#REF!</definedName>
    <definedName name="_btm10">#REF!</definedName>
    <definedName name="_btm100" localSheetId="5">#REF!</definedName>
    <definedName name="_btm100" localSheetId="19">#REF!</definedName>
    <definedName name="_btm100" localSheetId="3">#REF!</definedName>
    <definedName name="_btm100">#REF!</definedName>
    <definedName name="_BTM250" localSheetId="5">#REF!</definedName>
    <definedName name="_BTM250" localSheetId="19">#REF!</definedName>
    <definedName name="_BTM250" localSheetId="3">#REF!</definedName>
    <definedName name="_BTM250">#REF!</definedName>
    <definedName name="_btM300" localSheetId="5">#REF!</definedName>
    <definedName name="_btM300" localSheetId="19">#REF!</definedName>
    <definedName name="_btM300" localSheetId="3">#REF!</definedName>
    <definedName name="_btM300">#REF!</definedName>
    <definedName name="_Builtin155" hidden="1">#N/A</definedName>
    <definedName name="_cao1" localSheetId="5">#REF!</definedName>
    <definedName name="_cao1" localSheetId="19">#REF!</definedName>
    <definedName name="_cao1" localSheetId="3">#REF!</definedName>
    <definedName name="_cao1">#REF!</definedName>
    <definedName name="_cao2" localSheetId="5">#REF!</definedName>
    <definedName name="_cao2" localSheetId="19">#REF!</definedName>
    <definedName name="_cao2" localSheetId="3">#REF!</definedName>
    <definedName name="_cao2">#REF!</definedName>
    <definedName name="_cao3" localSheetId="5">#REF!</definedName>
    <definedName name="_cao3" localSheetId="19">#REF!</definedName>
    <definedName name="_cao3" localSheetId="3">#REF!</definedName>
    <definedName name="_cao3">#REF!</definedName>
    <definedName name="_cao4" localSheetId="5">#REF!</definedName>
    <definedName name="_cao4" localSheetId="19">#REF!</definedName>
    <definedName name="_cao4" localSheetId="3">#REF!</definedName>
    <definedName name="_cao4">#REF!</definedName>
    <definedName name="_cao5" localSheetId="5">#REF!</definedName>
    <definedName name="_cao5" localSheetId="19">#REF!</definedName>
    <definedName name="_cao5" localSheetId="3">#REF!</definedName>
    <definedName name="_cao5">#REF!</definedName>
    <definedName name="_cao6" localSheetId="5">#REF!</definedName>
    <definedName name="_cao6" localSheetId="19">#REF!</definedName>
    <definedName name="_cao6" localSheetId="3">#REF!</definedName>
    <definedName name="_cao6">#REF!</definedName>
    <definedName name="_cep1" hidden="1">{"'Sheet1'!$L$16"}</definedName>
    <definedName name="_Coc39" hidden="1">{"'Sheet1'!$L$16"}</definedName>
    <definedName name="_CON1" localSheetId="5">#REF!</definedName>
    <definedName name="_CON1" localSheetId="19">#REF!</definedName>
    <definedName name="_CON1" localSheetId="3">#REF!</definedName>
    <definedName name="_CON1">#REF!</definedName>
    <definedName name="_CON2" localSheetId="5">#REF!</definedName>
    <definedName name="_CON2" localSheetId="19">#REF!</definedName>
    <definedName name="_CON2" localSheetId="3">#REF!</definedName>
    <definedName name="_CON2">#REF!</definedName>
    <definedName name="_dai1" localSheetId="5">#REF!</definedName>
    <definedName name="_dai1" localSheetId="19">#REF!</definedName>
    <definedName name="_dai1" localSheetId="3">#REF!</definedName>
    <definedName name="_dai1">#REF!</definedName>
    <definedName name="_dai2" localSheetId="5">#REF!</definedName>
    <definedName name="_dai2" localSheetId="19">#REF!</definedName>
    <definedName name="_dai2" localSheetId="3">#REF!</definedName>
    <definedName name="_dai2">#REF!</definedName>
    <definedName name="_dai3" localSheetId="5">#REF!</definedName>
    <definedName name="_dai3" localSheetId="19">#REF!</definedName>
    <definedName name="_dai3" localSheetId="3">#REF!</definedName>
    <definedName name="_dai3">#REF!</definedName>
    <definedName name="_dai4" localSheetId="5">#REF!</definedName>
    <definedName name="_dai4" localSheetId="19">#REF!</definedName>
    <definedName name="_dai4" localSheetId="3">#REF!</definedName>
    <definedName name="_dai4">#REF!</definedName>
    <definedName name="_dai5" localSheetId="5">#REF!</definedName>
    <definedName name="_dai5" localSheetId="19">#REF!</definedName>
    <definedName name="_dai5" localSheetId="3">#REF!</definedName>
    <definedName name="_dai5">#REF!</definedName>
    <definedName name="_dai6" localSheetId="5">#REF!</definedName>
    <definedName name="_dai6" localSheetId="19">#REF!</definedName>
    <definedName name="_dai6" localSheetId="3">#REF!</definedName>
    <definedName name="_dai6">#REF!</definedName>
    <definedName name="_dan1" localSheetId="5">#REF!</definedName>
    <definedName name="_dan1" localSheetId="19">#REF!</definedName>
    <definedName name="_dan1" localSheetId="3">#REF!</definedName>
    <definedName name="_dan1">#REF!</definedName>
    <definedName name="_dan2" localSheetId="5">#REF!</definedName>
    <definedName name="_dan2" localSheetId="19">#REF!</definedName>
    <definedName name="_dan2" localSheetId="3">#REF!</definedName>
    <definedName name="_dan2">#REF!</definedName>
    <definedName name="_dao1" localSheetId="5">#REF!</definedName>
    <definedName name="_dao1" localSheetId="19">#REF!</definedName>
    <definedName name="_dao1" localSheetId="3">#REF!</definedName>
    <definedName name="_dao1">#REF!</definedName>
    <definedName name="_dbu1" localSheetId="5">#REF!</definedName>
    <definedName name="_dbu1" localSheetId="19">#REF!</definedName>
    <definedName name="_dbu1" localSheetId="3">#REF!</definedName>
    <definedName name="_dbu1">#REF!</definedName>
    <definedName name="_dbu2" localSheetId="5">#REF!</definedName>
    <definedName name="_dbu2" localSheetId="19">#REF!</definedName>
    <definedName name="_dbu2" localSheetId="3">#REF!</definedName>
    <definedName name="_dbu2">#REF!</definedName>
    <definedName name="_ddn400" localSheetId="5">#REF!</definedName>
    <definedName name="_ddn400" localSheetId="19">#REF!</definedName>
    <definedName name="_ddn400" localSheetId="3">#REF!</definedName>
    <definedName name="_ddn400">#REF!</definedName>
    <definedName name="_ddn600" localSheetId="5">#REF!</definedName>
    <definedName name="_ddn600" localSheetId="19">#REF!</definedName>
    <definedName name="_ddn600" localSheetId="3">#REF!</definedName>
    <definedName name="_ddn600">#REF!</definedName>
    <definedName name="_Fill" localSheetId="5" hidden="1">#REF!</definedName>
    <definedName name="_Fill" localSheetId="13" hidden="1">#REF!</definedName>
    <definedName name="_Fill" localSheetId="19" hidden="1">#REF!</definedName>
    <definedName name="_Fill" localSheetId="8" hidden="1">#REF!</definedName>
    <definedName name="_Fill" localSheetId="6" hidden="1">#REF!</definedName>
    <definedName name="_Fill" localSheetId="11" hidden="1">#REF!</definedName>
    <definedName name="_Fill" localSheetId="0" hidden="1">#REF!</definedName>
    <definedName name="_Fill" localSheetId="15" hidden="1">#REF!</definedName>
    <definedName name="_Fill" localSheetId="2" hidden="1">#REF!</definedName>
    <definedName name="_Fill" localSheetId="7" hidden="1">#REF!</definedName>
    <definedName name="_Fill" localSheetId="3" hidden="1">#REF!</definedName>
    <definedName name="_Fill" hidden="1">#REF!</definedName>
    <definedName name="_xlnm._FilterDatabase" localSheetId="5" hidden="1">'27,01,2021'!$A$6:$AJ$132</definedName>
    <definedName name="_xlnm._FilterDatabase" localSheetId="8" hidden="1">'Chi tiết'!$A$8:$BB$530</definedName>
    <definedName name="_xlnm._FilterDatabase" localSheetId="6" hidden="1">'chi tiết (final)'!$A$8:$BB$340</definedName>
    <definedName name="_xlnm._FilterDatabase" localSheetId="4" hidden="1">'năm 2021 họp GĐ (phân bổ chíức)'!$A$7:$M$101</definedName>
    <definedName name="_xlnm._FilterDatabase" localSheetId="1" hidden="1">'rà soát noi dung'!$A$9:$BF$531</definedName>
    <definedName name="_xlnm._FilterDatabase" localSheetId="9" hidden="1">'TH đơn vị gửi'!$A$9:$WKW$549</definedName>
    <definedName name="_xlnm._FilterDatabase" localSheetId="14" hidden="1">'TH rút gọn'!$A$15:$Y$60</definedName>
    <definedName name="_xlnm._FilterDatabase" localSheetId="15" hidden="1">'TH rút gọn (2)'!$A$16:$W$61</definedName>
    <definedName name="_xlnm._FilterDatabase" localSheetId="2" hidden="1">'TH rút gọn (3)'!$A$16:$W$62</definedName>
    <definedName name="_xlnm._FilterDatabase" localSheetId="7" hidden="1">'TH rút gon NVy covid'!$A$16:$Z$68</definedName>
    <definedName name="_xlnm._FilterDatabase" localSheetId="3" hidden="1">'TH rút gon NVy covid (2)'!$A$16:$Z$68</definedName>
    <definedName name="_Goi8" hidden="1">{"'Sheet1'!$L$16"}</definedName>
    <definedName name="_gon4" localSheetId="5">#REF!</definedName>
    <definedName name="_gon4" localSheetId="19">#REF!</definedName>
    <definedName name="_gon4" localSheetId="3">#REF!</definedName>
    <definedName name="_gon4">#REF!</definedName>
    <definedName name="_h1" hidden="1">{"'Sheet1'!$L$16"}</definedName>
    <definedName name="_hom2" localSheetId="5">#REF!</definedName>
    <definedName name="_hom2" localSheetId="19">#REF!</definedName>
    <definedName name="_hom2" localSheetId="3">#REF!</definedName>
    <definedName name="_hom2">#REF!</definedName>
    <definedName name="_hu1" hidden="1">{"'Sheet1'!$L$16"}</definedName>
    <definedName name="_hu2" hidden="1">{"'Sheet1'!$L$16"}</definedName>
    <definedName name="_hu5" hidden="1">{"'Sheet1'!$L$16"}</definedName>
    <definedName name="_hu6" hidden="1">{"'Sheet1'!$L$16"}</definedName>
    <definedName name="_Key1" localSheetId="5" hidden="1">#REF!</definedName>
    <definedName name="_Key1" localSheetId="13" hidden="1">#REF!</definedName>
    <definedName name="_Key1" localSheetId="19" hidden="1">#REF!</definedName>
    <definedName name="_Key1" localSheetId="8" hidden="1">#REF!</definedName>
    <definedName name="_Key1" localSheetId="6" hidden="1">#REF!</definedName>
    <definedName name="_Key1" localSheetId="11" hidden="1">#REF!</definedName>
    <definedName name="_Key1" localSheetId="0" hidden="1">#REF!</definedName>
    <definedName name="_Key1" localSheetId="15" hidden="1">#REF!</definedName>
    <definedName name="_Key1" localSheetId="2" hidden="1">#REF!</definedName>
    <definedName name="_Key1" localSheetId="7" hidden="1">#REF!</definedName>
    <definedName name="_Key1" localSheetId="3" hidden="1">#REF!</definedName>
    <definedName name="_Key1" hidden="1">#REF!</definedName>
    <definedName name="_Key2" localSheetId="5" hidden="1">#REF!</definedName>
    <definedName name="_Key2" localSheetId="13" hidden="1">#REF!</definedName>
    <definedName name="_Key2" localSheetId="19" hidden="1">#REF!</definedName>
    <definedName name="_Key2" localSheetId="8" hidden="1">#REF!</definedName>
    <definedName name="_Key2" localSheetId="6" hidden="1">#REF!</definedName>
    <definedName name="_Key2" localSheetId="11" hidden="1">#REF!</definedName>
    <definedName name="_Key2" localSheetId="0" hidden="1">#REF!</definedName>
    <definedName name="_Key2" localSheetId="15" hidden="1">#REF!</definedName>
    <definedName name="_Key2" localSheetId="2" hidden="1">#REF!</definedName>
    <definedName name="_Key2" localSheetId="7" hidden="1">#REF!</definedName>
    <definedName name="_Key2" localSheetId="3" hidden="1">#REF!</definedName>
    <definedName name="_Key2" hidden="1">#REF!</definedName>
    <definedName name="_KM188" localSheetId="5">#REF!</definedName>
    <definedName name="_KM188" localSheetId="19">#REF!</definedName>
    <definedName name="_KM188" localSheetId="3">#REF!</definedName>
    <definedName name="_KM188">#REF!</definedName>
    <definedName name="_km189" localSheetId="5">#REF!</definedName>
    <definedName name="_km189" localSheetId="19">#REF!</definedName>
    <definedName name="_km189" localSheetId="3">#REF!</definedName>
    <definedName name="_km189">#REF!</definedName>
    <definedName name="_km190" localSheetId="5">#REF!</definedName>
    <definedName name="_km190" localSheetId="19">#REF!</definedName>
    <definedName name="_km190" localSheetId="3">#REF!</definedName>
    <definedName name="_km190">#REF!</definedName>
    <definedName name="_km191" localSheetId="5">#REF!</definedName>
    <definedName name="_km191" localSheetId="19">#REF!</definedName>
    <definedName name="_km191" localSheetId="3">#REF!</definedName>
    <definedName name="_km191">#REF!</definedName>
    <definedName name="_km192" localSheetId="5">#REF!</definedName>
    <definedName name="_km192" localSheetId="19">#REF!</definedName>
    <definedName name="_km192" localSheetId="3">#REF!</definedName>
    <definedName name="_km192">#REF!</definedName>
    <definedName name="_km193" localSheetId="5">#REF!</definedName>
    <definedName name="_km193" localSheetId="19">#REF!</definedName>
    <definedName name="_km193" localSheetId="3">#REF!</definedName>
    <definedName name="_km193">#REF!</definedName>
    <definedName name="_km194" localSheetId="5">#REF!</definedName>
    <definedName name="_km194" localSheetId="19">#REF!</definedName>
    <definedName name="_km194" localSheetId="3">#REF!</definedName>
    <definedName name="_km194">#REF!</definedName>
    <definedName name="_km195" localSheetId="5">#REF!</definedName>
    <definedName name="_km195" localSheetId="19">#REF!</definedName>
    <definedName name="_km195" localSheetId="3">#REF!</definedName>
    <definedName name="_km195">#REF!</definedName>
    <definedName name="_km196" localSheetId="5">#REF!</definedName>
    <definedName name="_km196" localSheetId="19">#REF!</definedName>
    <definedName name="_km196" localSheetId="3">#REF!</definedName>
    <definedName name="_km196">#REF!</definedName>
    <definedName name="_km197" localSheetId="5">#REF!</definedName>
    <definedName name="_km197" localSheetId="19">#REF!</definedName>
    <definedName name="_km197" localSheetId="3">#REF!</definedName>
    <definedName name="_km197">#REF!</definedName>
    <definedName name="_km198" localSheetId="5">#REF!</definedName>
    <definedName name="_km198" localSheetId="19">#REF!</definedName>
    <definedName name="_km198" localSheetId="3">#REF!</definedName>
    <definedName name="_km198">#REF!</definedName>
    <definedName name="_KH08" hidden="1">{#N/A,#N/A,FALSE,"Chi tiÆt"}</definedName>
    <definedName name="_Lan1" hidden="1">{"'Sheet1'!$L$16"}</definedName>
    <definedName name="_LAN3" hidden="1">{"'Sheet1'!$L$16"}</definedName>
    <definedName name="_lap1" localSheetId="5">#REF!</definedName>
    <definedName name="_lap1" localSheetId="19">#REF!</definedName>
    <definedName name="_lap1" localSheetId="3">#REF!</definedName>
    <definedName name="_lap1">#REF!</definedName>
    <definedName name="_lap2" localSheetId="5">#REF!</definedName>
    <definedName name="_lap2" localSheetId="19">#REF!</definedName>
    <definedName name="_lap2" localSheetId="3">#REF!</definedName>
    <definedName name="_lap2">#REF!</definedName>
    <definedName name="_lk2" hidden="1">{"'Sheet1'!$L$16"}</definedName>
    <definedName name="_M36" hidden="1">{"'Sheet1'!$L$16"}</definedName>
    <definedName name="_MAC12" localSheetId="5">#REF!</definedName>
    <definedName name="_MAC12" localSheetId="19">#REF!</definedName>
    <definedName name="_MAC12" localSheetId="3">#REF!</definedName>
    <definedName name="_MAC12">#REF!</definedName>
    <definedName name="_MAC46" localSheetId="5">#REF!</definedName>
    <definedName name="_MAC46" localSheetId="19">#REF!</definedName>
    <definedName name="_MAC46" localSheetId="3">#REF!</definedName>
    <definedName name="_MAC46">#REF!</definedName>
    <definedName name="_NCL100" localSheetId="5">#REF!</definedName>
    <definedName name="_NCL100" localSheetId="19">#REF!</definedName>
    <definedName name="_NCL100" localSheetId="3">#REF!</definedName>
    <definedName name="_NCL100">#REF!</definedName>
    <definedName name="_NCL200" localSheetId="5">#REF!</definedName>
    <definedName name="_NCL200" localSheetId="19">#REF!</definedName>
    <definedName name="_NCL200" localSheetId="3">#REF!</definedName>
    <definedName name="_NCL200">#REF!</definedName>
    <definedName name="_NCL250" localSheetId="5">#REF!</definedName>
    <definedName name="_NCL250" localSheetId="19">#REF!</definedName>
    <definedName name="_NCL250" localSheetId="3">#REF!</definedName>
    <definedName name="_NCL250">#REF!</definedName>
    <definedName name="_NET2" localSheetId="5">#REF!</definedName>
    <definedName name="_NET2" localSheetId="19">#REF!</definedName>
    <definedName name="_NET2" localSheetId="3">#REF!</definedName>
    <definedName name="_NET2">#REF!</definedName>
    <definedName name="_nin190" localSheetId="5">#REF!</definedName>
    <definedName name="_nin190" localSheetId="19">#REF!</definedName>
    <definedName name="_nin190" localSheetId="3">#REF!</definedName>
    <definedName name="_nin190">#REF!</definedName>
    <definedName name="_NSO2" hidden="1">{"'Sheet1'!$L$16"}</definedName>
    <definedName name="_Order1" hidden="1">255</definedName>
    <definedName name="_Order2" hidden="1">255</definedName>
    <definedName name="_PA3" hidden="1">{"'Sheet1'!$L$16"}</definedName>
    <definedName name="_Parse_Out" localSheetId="5" hidden="1">[1]Quantity!#REF!</definedName>
    <definedName name="_Parse_Out" localSheetId="13" hidden="1">[1]Quantity!#REF!</definedName>
    <definedName name="_Parse_Out" localSheetId="19" hidden="1">[1]Quantity!#REF!</definedName>
    <definedName name="_Parse_Out" localSheetId="8" hidden="1">[1]Quantity!#REF!</definedName>
    <definedName name="_Parse_Out" localSheetId="6" hidden="1">[1]Quantity!#REF!</definedName>
    <definedName name="_Parse_Out" localSheetId="11" hidden="1">[1]Quantity!#REF!</definedName>
    <definedName name="_Parse_Out" localSheetId="0" hidden="1">[1]Quantity!#REF!</definedName>
    <definedName name="_Parse_Out" localSheetId="15" hidden="1">[1]Quantity!#REF!</definedName>
    <definedName name="_Parse_Out" localSheetId="2" hidden="1">[1]Quantity!#REF!</definedName>
    <definedName name="_Parse_Out" localSheetId="7" hidden="1">[1]Quantity!#REF!</definedName>
    <definedName name="_Parse_Out" localSheetId="3" hidden="1">[1]Quantity!#REF!</definedName>
    <definedName name="_Parse_Out" hidden="1">[1]Quantity!#REF!</definedName>
    <definedName name="_PL1242" localSheetId="5">#REF!</definedName>
    <definedName name="_PL1242" localSheetId="19">#REF!</definedName>
    <definedName name="_PL1242" localSheetId="3">#REF!</definedName>
    <definedName name="_PL1242">#REF!</definedName>
    <definedName name="_phi10" localSheetId="5">#REF!</definedName>
    <definedName name="_phi10" localSheetId="19">#REF!</definedName>
    <definedName name="_phi10" localSheetId="3">#REF!</definedName>
    <definedName name="_phi10">#REF!</definedName>
    <definedName name="_phi12" localSheetId="5">#REF!</definedName>
    <definedName name="_phi12" localSheetId="19">#REF!</definedName>
    <definedName name="_phi12" localSheetId="3">#REF!</definedName>
    <definedName name="_phi12">#REF!</definedName>
    <definedName name="_phi14" localSheetId="5">#REF!</definedName>
    <definedName name="_phi14" localSheetId="19">#REF!</definedName>
    <definedName name="_phi14" localSheetId="3">#REF!</definedName>
    <definedName name="_phi14">#REF!</definedName>
    <definedName name="_phi16" localSheetId="5">#REF!</definedName>
    <definedName name="_phi16" localSheetId="19">#REF!</definedName>
    <definedName name="_phi16" localSheetId="3">#REF!</definedName>
    <definedName name="_phi16">#REF!</definedName>
    <definedName name="_phi18" localSheetId="5">#REF!</definedName>
    <definedName name="_phi18" localSheetId="19">#REF!</definedName>
    <definedName name="_phi18" localSheetId="3">#REF!</definedName>
    <definedName name="_phi18">#REF!</definedName>
    <definedName name="_phi20" localSheetId="5">#REF!</definedName>
    <definedName name="_phi20" localSheetId="19">#REF!</definedName>
    <definedName name="_phi20" localSheetId="3">#REF!</definedName>
    <definedName name="_phi20">#REF!</definedName>
    <definedName name="_phi22" localSheetId="5">#REF!</definedName>
    <definedName name="_phi22" localSheetId="19">#REF!</definedName>
    <definedName name="_phi22" localSheetId="3">#REF!</definedName>
    <definedName name="_phi22">#REF!</definedName>
    <definedName name="_phi25" localSheetId="5">#REF!</definedName>
    <definedName name="_phi25" localSheetId="19">#REF!</definedName>
    <definedName name="_phi25" localSheetId="3">#REF!</definedName>
    <definedName name="_phi25">#REF!</definedName>
    <definedName name="_phi28" localSheetId="5">#REF!</definedName>
    <definedName name="_phi28" localSheetId="19">#REF!</definedName>
    <definedName name="_phi28" localSheetId="3">#REF!</definedName>
    <definedName name="_phi28">#REF!</definedName>
    <definedName name="_phi6" localSheetId="5">#REF!</definedName>
    <definedName name="_phi6" localSheetId="19">#REF!</definedName>
    <definedName name="_phi6" localSheetId="3">#REF!</definedName>
    <definedName name="_phi6">#REF!</definedName>
    <definedName name="_phi8" localSheetId="5">#REF!</definedName>
    <definedName name="_phi8" localSheetId="19">#REF!</definedName>
    <definedName name="_phi8" localSheetId="3">#REF!</definedName>
    <definedName name="_phi8">#REF!</definedName>
    <definedName name="_sat10" localSheetId="5">#REF!</definedName>
    <definedName name="_sat10" localSheetId="19">#REF!</definedName>
    <definedName name="_sat10" localSheetId="3">#REF!</definedName>
    <definedName name="_sat10">#REF!</definedName>
    <definedName name="_sat14" localSheetId="5">#REF!</definedName>
    <definedName name="_sat14" localSheetId="19">#REF!</definedName>
    <definedName name="_sat14" localSheetId="3">#REF!</definedName>
    <definedName name="_sat14">#REF!</definedName>
    <definedName name="_sat16" localSheetId="5">#REF!</definedName>
    <definedName name="_sat16" localSheetId="19">#REF!</definedName>
    <definedName name="_sat16" localSheetId="3">#REF!</definedName>
    <definedName name="_sat16">#REF!</definedName>
    <definedName name="_sat20" localSheetId="5">#REF!</definedName>
    <definedName name="_sat20" localSheetId="19">#REF!</definedName>
    <definedName name="_sat20" localSheetId="3">#REF!</definedName>
    <definedName name="_sat20">#REF!</definedName>
    <definedName name="_sat8" localSheetId="5">#REF!</definedName>
    <definedName name="_sat8" localSheetId="19">#REF!</definedName>
    <definedName name="_sat8" localSheetId="3">#REF!</definedName>
    <definedName name="_sat8">#REF!</definedName>
    <definedName name="_sc1" localSheetId="5">#REF!</definedName>
    <definedName name="_sc1" localSheetId="19">#REF!</definedName>
    <definedName name="_sc1" localSheetId="3">#REF!</definedName>
    <definedName name="_sc1">#REF!</definedName>
    <definedName name="_SC2" localSheetId="5">#REF!</definedName>
    <definedName name="_SC2" localSheetId="19">#REF!</definedName>
    <definedName name="_SC2" localSheetId="3">#REF!</definedName>
    <definedName name="_SC2">#REF!</definedName>
    <definedName name="_sc3" localSheetId="5">#REF!</definedName>
    <definedName name="_sc3" localSheetId="19">#REF!</definedName>
    <definedName name="_sc3" localSheetId="3">#REF!</definedName>
    <definedName name="_sc3">#REF!</definedName>
    <definedName name="_slg1" localSheetId="5">#REF!</definedName>
    <definedName name="_slg1" localSheetId="19">#REF!</definedName>
    <definedName name="_slg1" localSheetId="3">#REF!</definedName>
    <definedName name="_slg1">#REF!</definedName>
    <definedName name="_slg2" localSheetId="5">#REF!</definedName>
    <definedName name="_slg2" localSheetId="19">#REF!</definedName>
    <definedName name="_slg2" localSheetId="3">#REF!</definedName>
    <definedName name="_slg2">#REF!</definedName>
    <definedName name="_slg3" localSheetId="5">#REF!</definedName>
    <definedName name="_slg3" localSheetId="19">#REF!</definedName>
    <definedName name="_slg3" localSheetId="3">#REF!</definedName>
    <definedName name="_slg3">#REF!</definedName>
    <definedName name="_slg4" localSheetId="5">#REF!</definedName>
    <definedName name="_slg4" localSheetId="19">#REF!</definedName>
    <definedName name="_slg4" localSheetId="3">#REF!</definedName>
    <definedName name="_slg4">#REF!</definedName>
    <definedName name="_slg5" localSheetId="5">#REF!</definedName>
    <definedName name="_slg5" localSheetId="19">#REF!</definedName>
    <definedName name="_slg5" localSheetId="3">#REF!</definedName>
    <definedName name="_slg5">#REF!</definedName>
    <definedName name="_slg6" localSheetId="5">#REF!</definedName>
    <definedName name="_slg6" localSheetId="19">#REF!</definedName>
    <definedName name="_slg6" localSheetId="3">#REF!</definedName>
    <definedName name="_slg6">#REF!</definedName>
    <definedName name="_SN3" localSheetId="5">#REF!</definedName>
    <definedName name="_SN3" localSheetId="19">#REF!</definedName>
    <definedName name="_SN3" localSheetId="3">#REF!</definedName>
    <definedName name="_SN3">#REF!</definedName>
    <definedName name="_Sort" localSheetId="5" hidden="1">#REF!</definedName>
    <definedName name="_Sort" localSheetId="13" hidden="1">#REF!</definedName>
    <definedName name="_Sort" localSheetId="19" hidden="1">#REF!</definedName>
    <definedName name="_Sort" localSheetId="8" hidden="1">#REF!</definedName>
    <definedName name="_Sort" localSheetId="6" hidden="1">#REF!</definedName>
    <definedName name="_Sort" localSheetId="11" hidden="1">#REF!</definedName>
    <definedName name="_Sort" localSheetId="0" hidden="1">#REF!</definedName>
    <definedName name="_Sort" localSheetId="15" hidden="1">#REF!</definedName>
    <definedName name="_Sort" localSheetId="2" hidden="1">#REF!</definedName>
    <definedName name="_Sort" localSheetId="7" hidden="1">#REF!</definedName>
    <definedName name="_Sort" localSheetId="3" hidden="1">#REF!</definedName>
    <definedName name="_Sort" hidden="1">#REF!</definedName>
    <definedName name="_sua20" localSheetId="5">#REF!</definedName>
    <definedName name="_sua20" localSheetId="19">#REF!</definedName>
    <definedName name="_sua20" localSheetId="3">#REF!</definedName>
    <definedName name="_sua20">#REF!</definedName>
    <definedName name="_sua30" localSheetId="5">#REF!</definedName>
    <definedName name="_sua30" localSheetId="19">#REF!</definedName>
    <definedName name="_sua30" localSheetId="3">#REF!</definedName>
    <definedName name="_sua30">#REF!</definedName>
    <definedName name="_TB1" localSheetId="5">#REF!</definedName>
    <definedName name="_TB1" localSheetId="19">#REF!</definedName>
    <definedName name="_TB1" localSheetId="3">#REF!</definedName>
    <definedName name="_TB1">#REF!</definedName>
    <definedName name="_TL1" localSheetId="5">#REF!</definedName>
    <definedName name="_TL1" localSheetId="19">#REF!</definedName>
    <definedName name="_TL1" localSheetId="3">#REF!</definedName>
    <definedName name="_TL1">#REF!</definedName>
    <definedName name="_TL2" localSheetId="5">#REF!</definedName>
    <definedName name="_TL2" localSheetId="19">#REF!</definedName>
    <definedName name="_TL2" localSheetId="3">#REF!</definedName>
    <definedName name="_TL2">#REF!</definedName>
    <definedName name="_TL3" localSheetId="5">#REF!</definedName>
    <definedName name="_TL3" localSheetId="19">#REF!</definedName>
    <definedName name="_TL3" localSheetId="3">#REF!</definedName>
    <definedName name="_TL3">#REF!</definedName>
    <definedName name="_TLA120" localSheetId="5">#REF!</definedName>
    <definedName name="_TLA120" localSheetId="19">#REF!</definedName>
    <definedName name="_TLA120" localSheetId="3">#REF!</definedName>
    <definedName name="_TLA120">#REF!</definedName>
    <definedName name="_TLA35" localSheetId="5">#REF!</definedName>
    <definedName name="_TLA35" localSheetId="19">#REF!</definedName>
    <definedName name="_TLA35" localSheetId="3">#REF!</definedName>
    <definedName name="_TLA35">#REF!</definedName>
    <definedName name="_TLA50" localSheetId="5">#REF!</definedName>
    <definedName name="_TLA50" localSheetId="19">#REF!</definedName>
    <definedName name="_TLA50" localSheetId="3">#REF!</definedName>
    <definedName name="_TLA50">#REF!</definedName>
    <definedName name="_TLA70" localSheetId="5">#REF!</definedName>
    <definedName name="_TLA70" localSheetId="19">#REF!</definedName>
    <definedName name="_TLA70" localSheetId="3">#REF!</definedName>
    <definedName name="_TLA70">#REF!</definedName>
    <definedName name="_TLA95" localSheetId="5">#REF!</definedName>
    <definedName name="_TLA95" localSheetId="19">#REF!</definedName>
    <definedName name="_TLA95" localSheetId="3">#REF!</definedName>
    <definedName name="_TLA95">#REF!</definedName>
    <definedName name="_tt3" hidden="1">{"'Sheet1'!$L$16"}</definedName>
    <definedName name="_TT31" hidden="1">{"'Sheet1'!$L$16"}</definedName>
    <definedName name="_TH1" localSheetId="5">#REF!</definedName>
    <definedName name="_TH1" localSheetId="19">#REF!</definedName>
    <definedName name="_TH1" localSheetId="3">#REF!</definedName>
    <definedName name="_TH1">#REF!</definedName>
    <definedName name="_TH2" localSheetId="5">#REF!</definedName>
    <definedName name="_TH2" localSheetId="19">#REF!</definedName>
    <definedName name="_TH2" localSheetId="3">#REF!</definedName>
    <definedName name="_TH2">#REF!</definedName>
    <definedName name="_TH3" localSheetId="5">#REF!</definedName>
    <definedName name="_TH3" localSheetId="19">#REF!</definedName>
    <definedName name="_TH3" localSheetId="3">#REF!</definedName>
    <definedName name="_TH3">#REF!</definedName>
    <definedName name="_Tru21" hidden="1">{"'Sheet1'!$L$16"}</definedName>
    <definedName name="_vc1" localSheetId="5">#REF!</definedName>
    <definedName name="_vc1" localSheetId="19">#REF!</definedName>
    <definedName name="_vc1" localSheetId="3">#REF!</definedName>
    <definedName name="_vc1">#REF!</definedName>
    <definedName name="_vc2" localSheetId="5">#REF!</definedName>
    <definedName name="_vc2" localSheetId="19">#REF!</definedName>
    <definedName name="_vc2" localSheetId="3">#REF!</definedName>
    <definedName name="_vc2">#REF!</definedName>
    <definedName name="_vc3" localSheetId="5">#REF!</definedName>
    <definedName name="_vc3" localSheetId="19">#REF!</definedName>
    <definedName name="_vc3" localSheetId="3">#REF!</definedName>
    <definedName name="_vc3">#REF!</definedName>
    <definedName name="_VL100" localSheetId="5">#REF!</definedName>
    <definedName name="_VL100" localSheetId="19">#REF!</definedName>
    <definedName name="_VL100" localSheetId="3">#REF!</definedName>
    <definedName name="_VL100">#REF!</definedName>
    <definedName name="_vl2" hidden="1">{"'Sheet1'!$L$16"}</definedName>
    <definedName name="_VL250" localSheetId="5">#REF!</definedName>
    <definedName name="_VL250" localSheetId="19">#REF!</definedName>
    <definedName name="_VL250" localSheetId="3">#REF!</definedName>
    <definedName name="_VL250">#REF!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5">#REF!</definedName>
    <definedName name="A120_" localSheetId="19">#REF!</definedName>
    <definedName name="A120_" localSheetId="3">#REF!</definedName>
    <definedName name="A120_">#REF!</definedName>
    <definedName name="a277Print_Titles" localSheetId="5">#REF!</definedName>
    <definedName name="a277Print_Titles" localSheetId="19">#REF!</definedName>
    <definedName name="a277Print_Titles" localSheetId="3">#REF!</definedName>
    <definedName name="a277Print_Titles">#REF!</definedName>
    <definedName name="A35_" localSheetId="5">#REF!</definedName>
    <definedName name="A35_" localSheetId="19">#REF!</definedName>
    <definedName name="A35_" localSheetId="3">#REF!</definedName>
    <definedName name="A35_">#REF!</definedName>
    <definedName name="A50_" localSheetId="5">#REF!</definedName>
    <definedName name="A50_" localSheetId="19">#REF!</definedName>
    <definedName name="A50_" localSheetId="3">#REF!</definedName>
    <definedName name="A50_">#REF!</definedName>
    <definedName name="A6N2" localSheetId="5">#REF!</definedName>
    <definedName name="A6N2" localSheetId="19">#REF!</definedName>
    <definedName name="A6N2" localSheetId="3">#REF!</definedName>
    <definedName name="A6N2">#REF!</definedName>
    <definedName name="A6N3" localSheetId="5">#REF!</definedName>
    <definedName name="A6N3" localSheetId="19">#REF!</definedName>
    <definedName name="A6N3" localSheetId="3">#REF!</definedName>
    <definedName name="A6N3">#REF!</definedName>
    <definedName name="A70_" localSheetId="5">#REF!</definedName>
    <definedName name="A70_" localSheetId="19">#REF!</definedName>
    <definedName name="A70_" localSheetId="3">#REF!</definedName>
    <definedName name="A70_">#REF!</definedName>
    <definedName name="A95_" localSheetId="5">#REF!</definedName>
    <definedName name="A95_" localSheetId="19">#REF!</definedName>
    <definedName name="A95_" localSheetId="3">#REF!</definedName>
    <definedName name="A95_">#REF!</definedName>
    <definedName name="AA" localSheetId="5">#REF!</definedName>
    <definedName name="AA" localSheetId="19">#REF!</definedName>
    <definedName name="AA" localSheetId="3">#REF!</definedName>
    <definedName name="AA">#REF!</definedName>
    <definedName name="abc" localSheetId="5">#REF!</definedName>
    <definedName name="abc" localSheetId="19">#REF!</definedName>
    <definedName name="abc" localSheetId="3">#REF!</definedName>
    <definedName name="abc">#REF!</definedName>
    <definedName name="AC120_" localSheetId="5">#REF!</definedName>
    <definedName name="AC120_" localSheetId="19">#REF!</definedName>
    <definedName name="AC120_" localSheetId="3">#REF!</definedName>
    <definedName name="AC120_">#REF!</definedName>
    <definedName name="AC35_" localSheetId="5">#REF!</definedName>
    <definedName name="AC35_" localSheetId="19">#REF!</definedName>
    <definedName name="AC35_" localSheetId="3">#REF!</definedName>
    <definedName name="AC35_">#REF!</definedName>
    <definedName name="AC50_" localSheetId="5">#REF!</definedName>
    <definedName name="AC50_" localSheetId="19">#REF!</definedName>
    <definedName name="AC50_" localSheetId="3">#REF!</definedName>
    <definedName name="AC50_">#REF!</definedName>
    <definedName name="AC70_" localSheetId="5">#REF!</definedName>
    <definedName name="AC70_" localSheetId="19">#REF!</definedName>
    <definedName name="AC70_" localSheetId="3">#REF!</definedName>
    <definedName name="AC70_">#REF!</definedName>
    <definedName name="AC95_" localSheetId="5">#REF!</definedName>
    <definedName name="AC95_" localSheetId="19">#REF!</definedName>
    <definedName name="AC95_" localSheetId="3">#REF!</definedName>
    <definedName name="AC95_">#REF!</definedName>
    <definedName name="AccessDatabase" hidden="1">"C:\My Documents\LeBinh\Xls\VP Cong ty\FORM.mdb"</definedName>
    <definedName name="ADADADD" localSheetId="5" hidden="1">{"'Sheet1'!$L$16"}</definedName>
    <definedName name="ADADADD" localSheetId="13" hidden="1">{"'Sheet1'!$L$16"}</definedName>
    <definedName name="ADADADD" hidden="1">{"'Sheet1'!$L$16"}</definedName>
    <definedName name="All_Item" localSheetId="5">#REF!</definedName>
    <definedName name="All_Item" localSheetId="19">#REF!</definedName>
    <definedName name="All_Item" localSheetId="3">#REF!</definedName>
    <definedName name="All_Item">#REF!</definedName>
    <definedName name="ALPIN">#N/A</definedName>
    <definedName name="ALPJYOU">#N/A</definedName>
    <definedName name="ALPTOI">#N/A</definedName>
    <definedName name="anpha" localSheetId="5">#REF!</definedName>
    <definedName name="anpha" localSheetId="19">#REF!</definedName>
    <definedName name="anpha" localSheetId="3">#REF!</definedName>
    <definedName name="anpha">#REF!</definedName>
    <definedName name="anscount" hidden="1">3</definedName>
    <definedName name="ATGT" localSheetId="5" hidden="1">{"'Sheet1'!$L$16"}</definedName>
    <definedName name="ATGT" localSheetId="13" hidden="1">{"'Sheet1'!$L$16"}</definedName>
    <definedName name="ATGT" hidden="1">{"'Sheet1'!$L$16"}</definedName>
    <definedName name="ATGT1" hidden="1">{"'Sheet1'!$L$16"}</definedName>
    <definedName name="aweqwerw" localSheetId="5" hidden="1">[1]Quantity!#REF!</definedName>
    <definedName name="aweqwerw" localSheetId="19" hidden="1">[1]Quantity!#REF!</definedName>
    <definedName name="aweqwerw" localSheetId="8" hidden="1">[1]Quantity!#REF!</definedName>
    <definedName name="aweqwerw" localSheetId="6" hidden="1">[1]Quantity!#REF!</definedName>
    <definedName name="aweqwerw" localSheetId="11" hidden="1">[1]Quantity!#REF!</definedName>
    <definedName name="aweqwerw" localSheetId="0" hidden="1">[1]Quantity!#REF!</definedName>
    <definedName name="aweqwerw" localSheetId="15" hidden="1">[1]Quantity!#REF!</definedName>
    <definedName name="aweqwerw" localSheetId="2" hidden="1">[1]Quantity!#REF!</definedName>
    <definedName name="aweqwerw" localSheetId="7" hidden="1">[1]Quantity!#REF!</definedName>
    <definedName name="aweqwerw" localSheetId="3" hidden="1">[1]Quantity!#REF!</definedName>
    <definedName name="aweqwerw" hidden="1">[1]Quantity!#REF!</definedName>
    <definedName name="b_240" localSheetId="5">#REF!</definedName>
    <definedName name="b_240" localSheetId="19">#REF!</definedName>
    <definedName name="b_240" localSheetId="3">#REF!</definedName>
    <definedName name="b_240">#REF!</definedName>
    <definedName name="b_280" localSheetId="5">#REF!</definedName>
    <definedName name="b_280" localSheetId="19">#REF!</definedName>
    <definedName name="b_280" localSheetId="3">#REF!</definedName>
    <definedName name="b_280">#REF!</definedName>
    <definedName name="b_320" localSheetId="5">#REF!</definedName>
    <definedName name="b_320" localSheetId="19">#REF!</definedName>
    <definedName name="b_320" localSheetId="3">#REF!</definedName>
    <definedName name="b_320">#REF!</definedName>
    <definedName name="Bang_cly" localSheetId="5">#REF!</definedName>
    <definedName name="Bang_cly" localSheetId="19">#REF!</definedName>
    <definedName name="Bang_cly" localSheetId="3">#REF!</definedName>
    <definedName name="Bang_cly">#REF!</definedName>
    <definedName name="Bang_CVC" localSheetId="5">#REF!</definedName>
    <definedName name="Bang_CVC" localSheetId="19">#REF!</definedName>
    <definedName name="Bang_CVC" localSheetId="3">#REF!</definedName>
    <definedName name="Bang_CVC">#REF!</definedName>
    <definedName name="BANG_CHI_TIET_THI_NGHIEM_CONG_TO" localSheetId="5">#REF!</definedName>
    <definedName name="BANG_CHI_TIET_THI_NGHIEM_CONG_TO" localSheetId="19">#REF!</definedName>
    <definedName name="BANG_CHI_TIET_THI_NGHIEM_CONG_TO" localSheetId="3">#REF!</definedName>
    <definedName name="BANG_CHI_TIET_THI_NGHIEM_CONG_TO">#REF!</definedName>
    <definedName name="BANG_CHI_TIET_THI_NGHIEM_DZ0.4KV" localSheetId="5">#REF!</definedName>
    <definedName name="BANG_CHI_TIET_THI_NGHIEM_DZ0.4KV" localSheetId="19">#REF!</definedName>
    <definedName name="BANG_CHI_TIET_THI_NGHIEM_DZ0.4KV" localSheetId="3">#REF!</definedName>
    <definedName name="BANG_CHI_TIET_THI_NGHIEM_DZ0.4KV">#REF!</definedName>
    <definedName name="bang_gia" localSheetId="5">#REF!</definedName>
    <definedName name="bang_gia" localSheetId="19">#REF!</definedName>
    <definedName name="bang_gia" localSheetId="3">#REF!</definedName>
    <definedName name="bang_gia">#REF!</definedName>
    <definedName name="BANG_TONG_HOP_CONG_TO" localSheetId="5">#REF!</definedName>
    <definedName name="BANG_TONG_HOP_CONG_TO" localSheetId="19">#REF!</definedName>
    <definedName name="BANG_TONG_HOP_CONG_TO" localSheetId="3">#REF!</definedName>
    <definedName name="BANG_TONG_HOP_CONG_TO">#REF!</definedName>
    <definedName name="BANG_TONG_HOP_DZ0.4KV" localSheetId="5">#REF!</definedName>
    <definedName name="BANG_TONG_HOP_DZ0.4KV" localSheetId="19">#REF!</definedName>
    <definedName name="BANG_TONG_HOP_DZ0.4KV" localSheetId="3">#REF!</definedName>
    <definedName name="BANG_TONG_HOP_DZ0.4KV">#REF!</definedName>
    <definedName name="BANG_TONG_HOP_DZ22KV" localSheetId="5">#REF!</definedName>
    <definedName name="BANG_TONG_HOP_DZ22KV" localSheetId="19">#REF!</definedName>
    <definedName name="BANG_TONG_HOP_DZ22KV" localSheetId="3">#REF!</definedName>
    <definedName name="BANG_TONG_HOP_DZ22KV">#REF!</definedName>
    <definedName name="BANG_TONG_HOP_KHO_BAI" localSheetId="5">#REF!</definedName>
    <definedName name="BANG_TONG_HOP_KHO_BAI" localSheetId="19">#REF!</definedName>
    <definedName name="BANG_TONG_HOP_KHO_BAI" localSheetId="3">#REF!</definedName>
    <definedName name="BANG_TONG_HOP_KHO_BAI">#REF!</definedName>
    <definedName name="BANG_TONG_HOP_TBA" localSheetId="5">#REF!</definedName>
    <definedName name="BANG_TONG_HOP_TBA" localSheetId="19">#REF!</definedName>
    <definedName name="BANG_TONG_HOP_TBA" localSheetId="3">#REF!</definedName>
    <definedName name="BANG_TONG_HOP_TBA">#REF!</definedName>
    <definedName name="Bang_travl" localSheetId="5">#REF!</definedName>
    <definedName name="Bang_travl" localSheetId="19">#REF!</definedName>
    <definedName name="Bang_travl" localSheetId="3">#REF!</definedName>
    <definedName name="Bang_travl">#REF!</definedName>
    <definedName name="bangchu" localSheetId="5">#REF!</definedName>
    <definedName name="bangchu" localSheetId="19">#REF!</definedName>
    <definedName name="bangchu" localSheetId="3">#REF!</definedName>
    <definedName name="bangchu">#REF!</definedName>
    <definedName name="BB" localSheetId="5">#REF!</definedName>
    <definedName name="BB" localSheetId="19">#REF!</definedName>
    <definedName name="BB" localSheetId="3">#REF!</definedName>
    <definedName name="BB">#REF!</definedName>
    <definedName name="benuoc" localSheetId="5">#REF!</definedName>
    <definedName name="benuoc" localSheetId="19">#REF!</definedName>
    <definedName name="benuoc" localSheetId="3">#REF!</definedName>
    <definedName name="benuoc">#REF!</definedName>
    <definedName name="bengam" localSheetId="5">#REF!</definedName>
    <definedName name="bengam" localSheetId="19">#REF!</definedName>
    <definedName name="bengam" localSheetId="3">#REF!</definedName>
    <definedName name="bengam">#REF!</definedName>
    <definedName name="beta" localSheetId="5">#REF!</definedName>
    <definedName name="beta" localSheetId="19">#REF!</definedName>
    <definedName name="beta" localSheetId="3">#REF!</definedName>
    <definedName name="beta">#REF!</definedName>
    <definedName name="blkh" localSheetId="5">#REF!</definedName>
    <definedName name="blkh" localSheetId="19">#REF!</definedName>
    <definedName name="blkh" localSheetId="3">#REF!</definedName>
    <definedName name="blkh">#REF!</definedName>
    <definedName name="blkh1" localSheetId="5">#REF!</definedName>
    <definedName name="blkh1" localSheetId="19">#REF!</definedName>
    <definedName name="blkh1" localSheetId="3">#REF!</definedName>
    <definedName name="blkh1">#REF!</definedName>
    <definedName name="Book2" localSheetId="5">#REF!</definedName>
    <definedName name="Book2" localSheetId="19">#REF!</definedName>
    <definedName name="Book2" localSheetId="3">#REF!</definedName>
    <definedName name="Book2">#REF!</definedName>
    <definedName name="BOQ" localSheetId="5">#REF!</definedName>
    <definedName name="BOQ" localSheetId="19">#REF!</definedName>
    <definedName name="BOQ" localSheetId="3">#REF!</definedName>
    <definedName name="BOQ">#REF!</definedName>
    <definedName name="BT" localSheetId="5">#REF!</definedName>
    <definedName name="BT" localSheetId="19">#REF!</definedName>
    <definedName name="BT" localSheetId="3">#REF!</definedName>
    <definedName name="BT">#REF!</definedName>
    <definedName name="btcocM400" localSheetId="5">#REF!</definedName>
    <definedName name="btcocM400" localSheetId="19">#REF!</definedName>
    <definedName name="btcocM400" localSheetId="3">#REF!</definedName>
    <definedName name="btcocM400">#REF!</definedName>
    <definedName name="btchiuaxitm300" localSheetId="5">#REF!</definedName>
    <definedName name="btchiuaxitm300" localSheetId="19">#REF!</definedName>
    <definedName name="btchiuaxitm300" localSheetId="3">#REF!</definedName>
    <definedName name="btchiuaxitm300">#REF!</definedName>
    <definedName name="BTchiuaxm200" localSheetId="5">#REF!</definedName>
    <definedName name="BTchiuaxm200" localSheetId="19">#REF!</definedName>
    <definedName name="BTchiuaxm200" localSheetId="3">#REF!</definedName>
    <definedName name="BTchiuaxm200">#REF!</definedName>
    <definedName name="BTlotm100" localSheetId="5">#REF!</definedName>
    <definedName name="BTlotm100" localSheetId="19">#REF!</definedName>
    <definedName name="BTlotm100" localSheetId="3">#REF!</definedName>
    <definedName name="BTlotm100">#REF!</definedName>
    <definedName name="BU_CHENH_LECH_DZ0.4KV" localSheetId="5">#REF!</definedName>
    <definedName name="BU_CHENH_LECH_DZ0.4KV" localSheetId="19">#REF!</definedName>
    <definedName name="BU_CHENH_LECH_DZ0.4KV" localSheetId="3">#REF!</definedName>
    <definedName name="BU_CHENH_LECH_DZ0.4KV">#REF!</definedName>
    <definedName name="BU_CHENH_LECH_DZ22KV" localSheetId="5">#REF!</definedName>
    <definedName name="BU_CHENH_LECH_DZ22KV" localSheetId="19">#REF!</definedName>
    <definedName name="BU_CHENH_LECH_DZ22KV" localSheetId="3">#REF!</definedName>
    <definedName name="BU_CHENH_LECH_DZ22KV">#REF!</definedName>
    <definedName name="BU_CHENH_LECH_TBA" localSheetId="5">#REF!</definedName>
    <definedName name="BU_CHENH_LECH_TBA" localSheetId="19">#REF!</definedName>
    <definedName name="BU_CHENH_LECH_TBA" localSheetId="3">#REF!</definedName>
    <definedName name="BU_CHENH_LECH_TBA">#REF!</definedName>
    <definedName name="Bulongma">8700</definedName>
    <definedName name="BVCISUMMARY" localSheetId="5">#REF!</definedName>
    <definedName name="BVCISUMMARY" localSheetId="19">#REF!</definedName>
    <definedName name="BVCISUMMARY" localSheetId="3">#REF!</definedName>
    <definedName name="BVCISUMMARY">#REF!</definedName>
    <definedName name="BŸo_cŸo_täng_hìp_giŸ_trÙ_t_i_s_n_câ__Ùnh" localSheetId="5">#REF!</definedName>
    <definedName name="BŸo_cŸo_täng_hìp_giŸ_trÙ_t_i_s_n_câ__Ùnh" localSheetId="19">#REF!</definedName>
    <definedName name="BŸo_cŸo_täng_hìp_giŸ_trÙ_t_i_s_n_câ__Ùnh" localSheetId="3">#REF!</definedName>
    <definedName name="BŸo_cŸo_täng_hìp_giŸ_trÙ_t_i_s_n_câ__Ùnh">#REF!</definedName>
    <definedName name="C.1.1..Phat_tuyen" localSheetId="5">#REF!</definedName>
    <definedName name="C.1.1..Phat_tuyen" localSheetId="19">#REF!</definedName>
    <definedName name="C.1.1..Phat_tuyen" localSheetId="3">#REF!</definedName>
    <definedName name="C.1.1..Phat_tuyen">#REF!</definedName>
    <definedName name="C.1.10..VC_Thu_cong_CG" localSheetId="5">#REF!</definedName>
    <definedName name="C.1.10..VC_Thu_cong_CG" localSheetId="19">#REF!</definedName>
    <definedName name="C.1.10..VC_Thu_cong_CG" localSheetId="3">#REF!</definedName>
    <definedName name="C.1.10..VC_Thu_cong_CG">#REF!</definedName>
    <definedName name="C.1.2..Chat_cay_thu_cong" localSheetId="5">#REF!</definedName>
    <definedName name="C.1.2..Chat_cay_thu_cong" localSheetId="19">#REF!</definedName>
    <definedName name="C.1.2..Chat_cay_thu_cong" localSheetId="3">#REF!</definedName>
    <definedName name="C.1.2..Chat_cay_thu_cong">#REF!</definedName>
    <definedName name="C.1.3..Chat_cay_may" localSheetId="5">#REF!</definedName>
    <definedName name="C.1.3..Chat_cay_may" localSheetId="19">#REF!</definedName>
    <definedName name="C.1.3..Chat_cay_may" localSheetId="3">#REF!</definedName>
    <definedName name="C.1.3..Chat_cay_may">#REF!</definedName>
    <definedName name="C.1.4..Dao_goc_cay" localSheetId="5">#REF!</definedName>
    <definedName name="C.1.4..Dao_goc_cay" localSheetId="19">#REF!</definedName>
    <definedName name="C.1.4..Dao_goc_cay" localSheetId="3">#REF!</definedName>
    <definedName name="C.1.4..Dao_goc_cay">#REF!</definedName>
    <definedName name="C.1.5..Lam_duong_tam" localSheetId="5">#REF!</definedName>
    <definedName name="C.1.5..Lam_duong_tam" localSheetId="19">#REF!</definedName>
    <definedName name="C.1.5..Lam_duong_tam" localSheetId="3">#REF!</definedName>
    <definedName name="C.1.5..Lam_duong_tam">#REF!</definedName>
    <definedName name="C.1.6..Lam_cau_tam" localSheetId="5">#REF!</definedName>
    <definedName name="C.1.6..Lam_cau_tam" localSheetId="19">#REF!</definedName>
    <definedName name="C.1.6..Lam_cau_tam" localSheetId="3">#REF!</definedName>
    <definedName name="C.1.6..Lam_cau_tam">#REF!</definedName>
    <definedName name="C.1.7..Rai_da_chong_lun" localSheetId="5">#REF!</definedName>
    <definedName name="C.1.7..Rai_da_chong_lun" localSheetId="19">#REF!</definedName>
    <definedName name="C.1.7..Rai_da_chong_lun" localSheetId="3">#REF!</definedName>
    <definedName name="C.1.7..Rai_da_chong_lun">#REF!</definedName>
    <definedName name="C.1.8..Lam_kho_tam" localSheetId="5">#REF!</definedName>
    <definedName name="C.1.8..Lam_kho_tam" localSheetId="19">#REF!</definedName>
    <definedName name="C.1.8..Lam_kho_tam" localSheetId="3">#REF!</definedName>
    <definedName name="C.1.8..Lam_kho_tam">#REF!</definedName>
    <definedName name="C.1.8..San_mat_bang" localSheetId="5">#REF!</definedName>
    <definedName name="C.1.8..San_mat_bang" localSheetId="19">#REF!</definedName>
    <definedName name="C.1.8..San_mat_bang" localSheetId="3">#REF!</definedName>
    <definedName name="C.1.8..San_mat_bang">#REF!</definedName>
    <definedName name="C.2.1..VC_Thu_cong" localSheetId="5">#REF!</definedName>
    <definedName name="C.2.1..VC_Thu_cong" localSheetId="19">#REF!</definedName>
    <definedName name="C.2.1..VC_Thu_cong" localSheetId="3">#REF!</definedName>
    <definedName name="C.2.1..VC_Thu_cong">#REF!</definedName>
    <definedName name="C.2.2..VC_T_cong_CG" localSheetId="5">#REF!</definedName>
    <definedName name="C.2.2..VC_T_cong_CG" localSheetId="19">#REF!</definedName>
    <definedName name="C.2.2..VC_T_cong_CG" localSheetId="3">#REF!</definedName>
    <definedName name="C.2.2..VC_T_cong_CG">#REF!</definedName>
    <definedName name="C.2.3..Boc_do" localSheetId="5">#REF!</definedName>
    <definedName name="C.2.3..Boc_do" localSheetId="19">#REF!</definedName>
    <definedName name="C.2.3..Boc_do" localSheetId="3">#REF!</definedName>
    <definedName name="C.2.3..Boc_do">#REF!</definedName>
    <definedName name="C.3.1..Dao_dat_mong_cot" localSheetId="5">#REF!</definedName>
    <definedName name="C.3.1..Dao_dat_mong_cot" localSheetId="19">#REF!</definedName>
    <definedName name="C.3.1..Dao_dat_mong_cot" localSheetId="3">#REF!</definedName>
    <definedName name="C.3.1..Dao_dat_mong_cot">#REF!</definedName>
    <definedName name="C.3.2..Dao_dat_de_dap" localSheetId="5">#REF!</definedName>
    <definedName name="C.3.2..Dao_dat_de_dap" localSheetId="19">#REF!</definedName>
    <definedName name="C.3.2..Dao_dat_de_dap" localSheetId="3">#REF!</definedName>
    <definedName name="C.3.2..Dao_dat_de_dap">#REF!</definedName>
    <definedName name="C.3.3..Dap_dat_mong" localSheetId="5">#REF!</definedName>
    <definedName name="C.3.3..Dap_dat_mong" localSheetId="19">#REF!</definedName>
    <definedName name="C.3.3..Dap_dat_mong" localSheetId="3">#REF!</definedName>
    <definedName name="C.3.3..Dap_dat_mong">#REF!</definedName>
    <definedName name="C.3.4..Dao_dap_TDia" localSheetId="5">#REF!</definedName>
    <definedName name="C.3.4..Dao_dap_TDia" localSheetId="19">#REF!</definedName>
    <definedName name="C.3.4..Dao_dap_TDia" localSheetId="3">#REF!</definedName>
    <definedName name="C.3.4..Dao_dap_TDia">#REF!</definedName>
    <definedName name="C.3.5..Dap_bo_bao" localSheetId="5">#REF!</definedName>
    <definedName name="C.3.5..Dap_bo_bao" localSheetId="19">#REF!</definedName>
    <definedName name="C.3.5..Dap_bo_bao" localSheetId="3">#REF!</definedName>
    <definedName name="C.3.5..Dap_bo_bao">#REF!</definedName>
    <definedName name="C.3.6..Bom_tat_nuoc" localSheetId="5">#REF!</definedName>
    <definedName name="C.3.6..Bom_tat_nuoc" localSheetId="19">#REF!</definedName>
    <definedName name="C.3.6..Bom_tat_nuoc" localSheetId="3">#REF!</definedName>
    <definedName name="C.3.6..Bom_tat_nuoc">#REF!</definedName>
    <definedName name="C.3.7..Dao_bun" localSheetId="5">#REF!</definedName>
    <definedName name="C.3.7..Dao_bun" localSheetId="19">#REF!</definedName>
    <definedName name="C.3.7..Dao_bun" localSheetId="3">#REF!</definedName>
    <definedName name="C.3.7..Dao_bun">#REF!</definedName>
    <definedName name="C.3.8..Dap_cat_CT" localSheetId="5">#REF!</definedName>
    <definedName name="C.3.8..Dap_cat_CT" localSheetId="19">#REF!</definedName>
    <definedName name="C.3.8..Dap_cat_CT" localSheetId="3">#REF!</definedName>
    <definedName name="C.3.8..Dap_cat_CT">#REF!</definedName>
    <definedName name="C.3.9..Dao_pha_da" localSheetId="5">#REF!</definedName>
    <definedName name="C.3.9..Dao_pha_da" localSheetId="19">#REF!</definedName>
    <definedName name="C.3.9..Dao_pha_da" localSheetId="3">#REF!</definedName>
    <definedName name="C.3.9..Dao_pha_da">#REF!</definedName>
    <definedName name="C.4.1.Cot_thep" localSheetId="5">#REF!</definedName>
    <definedName name="C.4.1.Cot_thep" localSheetId="19">#REF!</definedName>
    <definedName name="C.4.1.Cot_thep" localSheetId="3">#REF!</definedName>
    <definedName name="C.4.1.Cot_thep">#REF!</definedName>
    <definedName name="C.4.2..Van_khuon" localSheetId="5">#REF!</definedName>
    <definedName name="C.4.2..Van_khuon" localSheetId="19">#REF!</definedName>
    <definedName name="C.4.2..Van_khuon" localSheetId="3">#REF!</definedName>
    <definedName name="C.4.2..Van_khuon">#REF!</definedName>
    <definedName name="C.4.3..Be_tong" localSheetId="5">#REF!</definedName>
    <definedName name="C.4.3..Be_tong" localSheetId="19">#REF!</definedName>
    <definedName name="C.4.3..Be_tong" localSheetId="3">#REF!</definedName>
    <definedName name="C.4.3..Be_tong">#REF!</definedName>
    <definedName name="C.4.4..Lap_BT_D.San" localSheetId="5">#REF!</definedName>
    <definedName name="C.4.4..Lap_BT_D.San" localSheetId="19">#REF!</definedName>
    <definedName name="C.4.4..Lap_BT_D.San" localSheetId="3">#REF!</definedName>
    <definedName name="C.4.4..Lap_BT_D.San">#REF!</definedName>
    <definedName name="C.4.5..Xay_da_hoc" localSheetId="5">#REF!</definedName>
    <definedName name="C.4.5..Xay_da_hoc" localSheetId="19">#REF!</definedName>
    <definedName name="C.4.5..Xay_da_hoc" localSheetId="3">#REF!</definedName>
    <definedName name="C.4.5..Xay_da_hoc">#REF!</definedName>
    <definedName name="C.4.6..Dong_coc" localSheetId="5">#REF!</definedName>
    <definedName name="C.4.6..Dong_coc" localSheetId="19">#REF!</definedName>
    <definedName name="C.4.6..Dong_coc" localSheetId="3">#REF!</definedName>
    <definedName name="C.4.6..Dong_coc">#REF!</definedName>
    <definedName name="C.4.7..Quet_Bi_tum" localSheetId="5">#REF!</definedName>
    <definedName name="C.4.7..Quet_Bi_tum" localSheetId="19">#REF!</definedName>
    <definedName name="C.4.7..Quet_Bi_tum" localSheetId="3">#REF!</definedName>
    <definedName name="C.4.7..Quet_Bi_tum">#REF!</definedName>
    <definedName name="C.5.1..Lap_cot_thep" localSheetId="5">#REF!</definedName>
    <definedName name="C.5.1..Lap_cot_thep" localSheetId="19">#REF!</definedName>
    <definedName name="C.5.1..Lap_cot_thep" localSheetId="3">#REF!</definedName>
    <definedName name="C.5.1..Lap_cot_thep">#REF!</definedName>
    <definedName name="C.5.2..Lap_cot_BT" localSheetId="5">#REF!</definedName>
    <definedName name="C.5.2..Lap_cot_BT" localSheetId="19">#REF!</definedName>
    <definedName name="C.5.2..Lap_cot_BT" localSheetId="3">#REF!</definedName>
    <definedName name="C.5.2..Lap_cot_BT">#REF!</definedName>
    <definedName name="C.5.3..Lap_dat_xa" localSheetId="5">#REF!</definedName>
    <definedName name="C.5.3..Lap_dat_xa" localSheetId="19">#REF!</definedName>
    <definedName name="C.5.3..Lap_dat_xa" localSheetId="3">#REF!</definedName>
    <definedName name="C.5.3..Lap_dat_xa">#REF!</definedName>
    <definedName name="C.5.4..Lap_tiep_dia" localSheetId="5">#REF!</definedName>
    <definedName name="C.5.4..Lap_tiep_dia" localSheetId="19">#REF!</definedName>
    <definedName name="C.5.4..Lap_tiep_dia" localSheetId="3">#REF!</definedName>
    <definedName name="C.5.4..Lap_tiep_dia">#REF!</definedName>
    <definedName name="C.5.5..Son_sat_thep" localSheetId="5">#REF!</definedName>
    <definedName name="C.5.5..Son_sat_thep" localSheetId="19">#REF!</definedName>
    <definedName name="C.5.5..Son_sat_thep" localSheetId="3">#REF!</definedName>
    <definedName name="C.5.5..Son_sat_thep">#REF!</definedName>
    <definedName name="C.6.1..Lap_su_dung" localSheetId="5">#REF!</definedName>
    <definedName name="C.6.1..Lap_su_dung" localSheetId="19">#REF!</definedName>
    <definedName name="C.6.1..Lap_su_dung" localSheetId="3">#REF!</definedName>
    <definedName name="C.6.1..Lap_su_dung">#REF!</definedName>
    <definedName name="C.6.2..Lap_su_CS" localSheetId="5">#REF!</definedName>
    <definedName name="C.6.2..Lap_su_CS" localSheetId="19">#REF!</definedName>
    <definedName name="C.6.2..Lap_su_CS" localSheetId="3">#REF!</definedName>
    <definedName name="C.6.2..Lap_su_CS">#REF!</definedName>
    <definedName name="C.6.3..Su_chuoi_do" localSheetId="5">#REF!</definedName>
    <definedName name="C.6.3..Su_chuoi_do" localSheetId="19">#REF!</definedName>
    <definedName name="C.6.3..Su_chuoi_do" localSheetId="3">#REF!</definedName>
    <definedName name="C.6.3..Su_chuoi_do">#REF!</definedName>
    <definedName name="C.6.4..Su_chuoi_neo" localSheetId="5">#REF!</definedName>
    <definedName name="C.6.4..Su_chuoi_neo" localSheetId="19">#REF!</definedName>
    <definedName name="C.6.4..Su_chuoi_neo" localSheetId="3">#REF!</definedName>
    <definedName name="C.6.4..Su_chuoi_neo">#REF!</definedName>
    <definedName name="C.6.5..Lap_phu_kien" localSheetId="5">#REF!</definedName>
    <definedName name="C.6.5..Lap_phu_kien" localSheetId="19">#REF!</definedName>
    <definedName name="C.6.5..Lap_phu_kien" localSheetId="3">#REF!</definedName>
    <definedName name="C.6.5..Lap_phu_kien">#REF!</definedName>
    <definedName name="C.6.6..Ep_noi_day" localSheetId="5">#REF!</definedName>
    <definedName name="C.6.6..Ep_noi_day" localSheetId="19">#REF!</definedName>
    <definedName name="C.6.6..Ep_noi_day" localSheetId="3">#REF!</definedName>
    <definedName name="C.6.6..Ep_noi_day">#REF!</definedName>
    <definedName name="C.6.7..KD_vuot_CN" localSheetId="5">#REF!</definedName>
    <definedName name="C.6.7..KD_vuot_CN" localSheetId="19">#REF!</definedName>
    <definedName name="C.6.7..KD_vuot_CN" localSheetId="3">#REF!</definedName>
    <definedName name="C.6.7..KD_vuot_CN">#REF!</definedName>
    <definedName name="C.6.8..Rai_cang_day" localSheetId="5">#REF!</definedName>
    <definedName name="C.6.8..Rai_cang_day" localSheetId="19">#REF!</definedName>
    <definedName name="C.6.8..Rai_cang_day" localSheetId="3">#REF!</definedName>
    <definedName name="C.6.8..Rai_cang_day">#REF!</definedName>
    <definedName name="C.6.9..Cap_quang" localSheetId="5">#REF!</definedName>
    <definedName name="C.6.9..Cap_quang" localSheetId="19">#REF!</definedName>
    <definedName name="C.6.9..Cap_quang" localSheetId="3">#REF!</definedName>
    <definedName name="C.6.9..Cap_quang">#REF!</definedName>
    <definedName name="ca.1111" localSheetId="5">#REF!</definedName>
    <definedName name="ca.1111" localSheetId="19">#REF!</definedName>
    <definedName name="ca.1111" localSheetId="3">#REF!</definedName>
    <definedName name="ca.1111">#REF!</definedName>
    <definedName name="ca.1111.th" localSheetId="5">#REF!</definedName>
    <definedName name="ca.1111.th" localSheetId="19">#REF!</definedName>
    <definedName name="ca.1111.th" localSheetId="3">#REF!</definedName>
    <definedName name="ca.1111.th">#REF!</definedName>
    <definedName name="CACAU">298161</definedName>
    <definedName name="cao" localSheetId="5">#REF!</definedName>
    <definedName name="cao" localSheetId="19">#REF!</definedName>
    <definedName name="cao" localSheetId="3">#REF!</definedName>
    <definedName name="cao">#REF!</definedName>
    <definedName name="Cat" localSheetId="5">#REF!</definedName>
    <definedName name="Cat" localSheetId="19">#REF!</definedName>
    <definedName name="Cat" localSheetId="3">#REF!</definedName>
    <definedName name="Cat">#REF!</definedName>
    <definedName name="Category_All" localSheetId="5">#REF!</definedName>
    <definedName name="Category_All" localSheetId="19">#REF!</definedName>
    <definedName name="Category_All" localSheetId="3">#REF!</definedName>
    <definedName name="Category_All">#REF!</definedName>
    <definedName name="CATIN">#N/A</definedName>
    <definedName name="CATJYOU">#N/A</definedName>
    <definedName name="catm" localSheetId="5">#REF!</definedName>
    <definedName name="catm" localSheetId="19">#REF!</definedName>
    <definedName name="catm" localSheetId="3">#REF!</definedName>
    <definedName name="catm">#REF!</definedName>
    <definedName name="catn" localSheetId="5">#REF!</definedName>
    <definedName name="catn" localSheetId="19">#REF!</definedName>
    <definedName name="catn" localSheetId="3">#REF!</definedName>
    <definedName name="catn">#REF!</definedName>
    <definedName name="CATSYU">#N/A</definedName>
    <definedName name="catvang" localSheetId="5">#REF!</definedName>
    <definedName name="catvang" localSheetId="19">#REF!</definedName>
    <definedName name="catvang" localSheetId="3">#REF!</definedName>
    <definedName name="catvang">#REF!</definedName>
    <definedName name="CATREC">#N/A</definedName>
    <definedName name="CCS" localSheetId="5">#REF!</definedName>
    <definedName name="CCS" localSheetId="19">#REF!</definedName>
    <definedName name="CCS" localSheetId="3">#REF!</definedName>
    <definedName name="CCS">#REF!</definedName>
    <definedName name="CDD" localSheetId="5">#REF!</definedName>
    <definedName name="CDD" localSheetId="19">#REF!</definedName>
    <definedName name="CDD" localSheetId="3">#REF!</definedName>
    <definedName name="CDD">#REF!</definedName>
    <definedName name="CDDD" localSheetId="5">#REF!</definedName>
    <definedName name="CDDD" localSheetId="19">#REF!</definedName>
    <definedName name="CDDD" localSheetId="3">#REF!</definedName>
    <definedName name="CDDD">#REF!</definedName>
    <definedName name="CDDD1P" localSheetId="5">#REF!</definedName>
    <definedName name="CDDD1P" localSheetId="19">#REF!</definedName>
    <definedName name="CDDD1P" localSheetId="3">#REF!</definedName>
    <definedName name="CDDD1P">#REF!</definedName>
    <definedName name="CDDD1PHA" localSheetId="5">#REF!</definedName>
    <definedName name="CDDD1PHA" localSheetId="19">#REF!</definedName>
    <definedName name="CDDD1PHA" localSheetId="3">#REF!</definedName>
    <definedName name="CDDD1PHA">#REF!</definedName>
    <definedName name="CDDD3PHA" localSheetId="5">#REF!</definedName>
    <definedName name="CDDD3PHA" localSheetId="19">#REF!</definedName>
    <definedName name="CDDD3PHA" localSheetId="3">#REF!</definedName>
    <definedName name="CDDD3PHA">#REF!</definedName>
    <definedName name="Cdnum" localSheetId="5">#REF!</definedName>
    <definedName name="Cdnum" localSheetId="19">#REF!</definedName>
    <definedName name="Cdnum" localSheetId="3">#REF!</definedName>
    <definedName name="Cdnum">#REF!</definedName>
    <definedName name="CK" localSheetId="5">#REF!</definedName>
    <definedName name="CK" localSheetId="19">#REF!</definedName>
    <definedName name="CK" localSheetId="3">#REF!</definedName>
    <definedName name="CK">#REF!</definedName>
    <definedName name="CLECH_0.4" localSheetId="5">#REF!</definedName>
    <definedName name="CLECH_0.4" localSheetId="19">#REF!</definedName>
    <definedName name="CLECH_0.4" localSheetId="3">#REF!</definedName>
    <definedName name="CLECH_0.4">#REF!</definedName>
    <definedName name="CLVC3">0.1</definedName>
    <definedName name="CLVC35" localSheetId="5">#REF!</definedName>
    <definedName name="CLVC35" localSheetId="19">#REF!</definedName>
    <definedName name="CLVC35" localSheetId="3">#REF!</definedName>
    <definedName name="CLVC35">#REF!</definedName>
    <definedName name="CLVCTB" localSheetId="5">#REF!</definedName>
    <definedName name="CLVCTB" localSheetId="19">#REF!</definedName>
    <definedName name="CLVCTB" localSheetId="3">#REF!</definedName>
    <definedName name="CLVCTB">#REF!</definedName>
    <definedName name="clvl" localSheetId="5">#REF!</definedName>
    <definedName name="clvl" localSheetId="19">#REF!</definedName>
    <definedName name="clvl" localSheetId="3">#REF!</definedName>
    <definedName name="clvl">#REF!</definedName>
    <definedName name="cn" localSheetId="5">#REF!</definedName>
    <definedName name="cn" localSheetId="19">#REF!</definedName>
    <definedName name="cn" localSheetId="3">#REF!</definedName>
    <definedName name="cn">#REF!</definedName>
    <definedName name="CNC" localSheetId="5">#REF!</definedName>
    <definedName name="CNC" localSheetId="19">#REF!</definedName>
    <definedName name="CNC" localSheetId="3">#REF!</definedName>
    <definedName name="CNC">#REF!</definedName>
    <definedName name="CND" localSheetId="5">#REF!</definedName>
    <definedName name="CND" localSheetId="19">#REF!</definedName>
    <definedName name="CND" localSheetId="3">#REF!</definedName>
    <definedName name="CND">#REF!</definedName>
    <definedName name="CNG" localSheetId="5">#REF!</definedName>
    <definedName name="CNG" localSheetId="19">#REF!</definedName>
    <definedName name="CNG" localSheetId="3">#REF!</definedName>
    <definedName name="CNG">#REF!</definedName>
    <definedName name="Co" localSheetId="5">#REF!</definedName>
    <definedName name="Co" localSheetId="19">#REF!</definedName>
    <definedName name="Co" localSheetId="3">#REF!</definedName>
    <definedName name="Co">#REF!</definedName>
    <definedName name="coc" localSheetId="5">#REF!</definedName>
    <definedName name="coc" localSheetId="19">#REF!</definedName>
    <definedName name="coc" localSheetId="3">#REF!</definedName>
    <definedName name="coc">#REF!</definedName>
    <definedName name="Coc_60" localSheetId="5" hidden="1">{"'Sheet1'!$L$16"}</definedName>
    <definedName name="Coc_60" localSheetId="13" hidden="1">{"'Sheet1'!$L$16"}</definedName>
    <definedName name="Coc_60" hidden="1">{"'Sheet1'!$L$16"}</definedName>
    <definedName name="cocbtct" localSheetId="5">#REF!</definedName>
    <definedName name="cocbtct" localSheetId="19">#REF!</definedName>
    <definedName name="cocbtct" localSheetId="3">#REF!</definedName>
    <definedName name="cocbtct">#REF!</definedName>
    <definedName name="cocot" localSheetId="5">#REF!</definedName>
    <definedName name="cocot" localSheetId="19">#REF!</definedName>
    <definedName name="cocot" localSheetId="3">#REF!</definedName>
    <definedName name="cocot">#REF!</definedName>
    <definedName name="cocott" localSheetId="5">#REF!</definedName>
    <definedName name="cocott" localSheetId="19">#REF!</definedName>
    <definedName name="cocott" localSheetId="3">#REF!</definedName>
    <definedName name="cocott">#REF!</definedName>
    <definedName name="Cöï_ly_vaän_chuyeãn" localSheetId="5">#REF!</definedName>
    <definedName name="Cöï_ly_vaän_chuyeãn" localSheetId="19">#REF!</definedName>
    <definedName name="Cöï_ly_vaän_chuyeãn" localSheetId="3">#REF!</definedName>
    <definedName name="Cöï_ly_vaän_chuyeãn">#REF!</definedName>
    <definedName name="CÖÏ_LY_VAÄN_CHUYEÅN" localSheetId="5">#REF!</definedName>
    <definedName name="CÖÏ_LY_VAÄN_CHUYEÅN" localSheetId="19">#REF!</definedName>
    <definedName name="CÖÏ_LY_VAÄN_CHUYEÅN" localSheetId="3">#REF!</definedName>
    <definedName name="CÖÏ_LY_VAÄN_CHUYEÅN">#REF!</definedName>
    <definedName name="COMMON" localSheetId="5">#REF!</definedName>
    <definedName name="COMMON" localSheetId="19">#REF!</definedName>
    <definedName name="COMMON" localSheetId="3">#REF!</definedName>
    <definedName name="COMMON">#REF!</definedName>
    <definedName name="comong" localSheetId="5">#REF!</definedName>
    <definedName name="comong" localSheetId="19">#REF!</definedName>
    <definedName name="comong" localSheetId="3">#REF!</definedName>
    <definedName name="comong">#REF!</definedName>
    <definedName name="CON_EQP_COS" localSheetId="5">#REF!</definedName>
    <definedName name="CON_EQP_COS" localSheetId="19">#REF!</definedName>
    <definedName name="CON_EQP_COS" localSheetId="3">#REF!</definedName>
    <definedName name="CON_EQP_COS">#REF!</definedName>
    <definedName name="CON_EQP_COST" localSheetId="5">#REF!</definedName>
    <definedName name="CON_EQP_COST" localSheetId="19">#REF!</definedName>
    <definedName name="CON_EQP_COST" localSheetId="3">#REF!</definedName>
    <definedName name="CON_EQP_COST">#REF!</definedName>
    <definedName name="CONST_EQ" localSheetId="5">#REF!</definedName>
    <definedName name="CONST_EQ" localSheetId="19">#REF!</definedName>
    <definedName name="CONST_EQ" localSheetId="3">#REF!</definedName>
    <definedName name="CONST_EQ">#REF!</definedName>
    <definedName name="Cong_HM_DTCT" localSheetId="5">#REF!</definedName>
    <definedName name="Cong_HM_DTCT" localSheetId="19">#REF!</definedName>
    <definedName name="Cong_HM_DTCT" localSheetId="3">#REF!</definedName>
    <definedName name="Cong_HM_DTCT">#REF!</definedName>
    <definedName name="Cong_M_DTCT" localSheetId="5">#REF!</definedName>
    <definedName name="Cong_M_DTCT" localSheetId="19">#REF!</definedName>
    <definedName name="Cong_M_DTCT" localSheetId="3">#REF!</definedName>
    <definedName name="Cong_M_DTCT">#REF!</definedName>
    <definedName name="Cong_NC_DTCT" localSheetId="5">#REF!</definedName>
    <definedName name="Cong_NC_DTCT" localSheetId="19">#REF!</definedName>
    <definedName name="Cong_NC_DTCT" localSheetId="3">#REF!</definedName>
    <definedName name="Cong_NC_DTCT">#REF!</definedName>
    <definedName name="Cong_VL_DTCT" localSheetId="5">#REF!</definedName>
    <definedName name="Cong_VL_DTCT" localSheetId="19">#REF!</definedName>
    <definedName name="Cong_VL_DTCT" localSheetId="3">#REF!</definedName>
    <definedName name="Cong_VL_DTCT">#REF!</definedName>
    <definedName name="congbenuoc" localSheetId="5">#REF!</definedName>
    <definedName name="congbenuoc" localSheetId="19">#REF!</definedName>
    <definedName name="congbenuoc" localSheetId="3">#REF!</definedName>
    <definedName name="congbenuoc">#REF!</definedName>
    <definedName name="congbengam" localSheetId="5">#REF!</definedName>
    <definedName name="congbengam" localSheetId="19">#REF!</definedName>
    <definedName name="congbengam" localSheetId="3">#REF!</definedName>
    <definedName name="congbengam">#REF!</definedName>
    <definedName name="congcoc" localSheetId="5">#REF!</definedName>
    <definedName name="congcoc" localSheetId="19">#REF!</definedName>
    <definedName name="congcoc" localSheetId="3">#REF!</definedName>
    <definedName name="congcoc">#REF!</definedName>
    <definedName name="congcocot" localSheetId="5">#REF!</definedName>
    <definedName name="congcocot" localSheetId="19">#REF!</definedName>
    <definedName name="congcocot" localSheetId="3">#REF!</definedName>
    <definedName name="congcocot">#REF!</definedName>
    <definedName name="congcocott" localSheetId="5">#REF!</definedName>
    <definedName name="congcocott" localSheetId="19">#REF!</definedName>
    <definedName name="congcocott" localSheetId="3">#REF!</definedName>
    <definedName name="congcocott">#REF!</definedName>
    <definedName name="congcomong" localSheetId="5">#REF!</definedName>
    <definedName name="congcomong" localSheetId="19">#REF!</definedName>
    <definedName name="congcomong" localSheetId="3">#REF!</definedName>
    <definedName name="congcomong">#REF!</definedName>
    <definedName name="congcottron" localSheetId="5">#REF!</definedName>
    <definedName name="congcottron" localSheetId="19">#REF!</definedName>
    <definedName name="congcottron" localSheetId="3">#REF!</definedName>
    <definedName name="congcottron">#REF!</definedName>
    <definedName name="congcotvuong" localSheetId="5">#REF!</definedName>
    <definedName name="congcotvuong" localSheetId="19">#REF!</definedName>
    <definedName name="congcotvuong" localSheetId="3">#REF!</definedName>
    <definedName name="congcotvuong">#REF!</definedName>
    <definedName name="congdam" localSheetId="5">#REF!</definedName>
    <definedName name="congdam" localSheetId="19">#REF!</definedName>
    <definedName name="congdam" localSheetId="3">#REF!</definedName>
    <definedName name="congdam">#REF!</definedName>
    <definedName name="congdan1" localSheetId="5">#REF!</definedName>
    <definedName name="congdan1" localSheetId="19">#REF!</definedName>
    <definedName name="congdan1" localSheetId="3">#REF!</definedName>
    <definedName name="congdan1">#REF!</definedName>
    <definedName name="congdan2" localSheetId="5">#REF!</definedName>
    <definedName name="congdan2" localSheetId="19">#REF!</definedName>
    <definedName name="congdan2" localSheetId="3">#REF!</definedName>
    <definedName name="congdan2">#REF!</definedName>
    <definedName name="congdandusan" localSheetId="5">#REF!</definedName>
    <definedName name="congdandusan" localSheetId="19">#REF!</definedName>
    <definedName name="congdandusan" localSheetId="3">#REF!</definedName>
    <definedName name="congdandusan">#REF!</definedName>
    <definedName name="conglanhto" localSheetId="5">#REF!</definedName>
    <definedName name="conglanhto" localSheetId="19">#REF!</definedName>
    <definedName name="conglanhto" localSheetId="3">#REF!</definedName>
    <definedName name="conglanhto">#REF!</definedName>
    <definedName name="congmong" localSheetId="5">#REF!</definedName>
    <definedName name="congmong" localSheetId="19">#REF!</definedName>
    <definedName name="congmong" localSheetId="3">#REF!</definedName>
    <definedName name="congmong">#REF!</definedName>
    <definedName name="congmongbang" localSheetId="5">#REF!</definedName>
    <definedName name="congmongbang" localSheetId="19">#REF!</definedName>
    <definedName name="congmongbang" localSheetId="3">#REF!</definedName>
    <definedName name="congmongbang">#REF!</definedName>
    <definedName name="congmongdon" localSheetId="5">#REF!</definedName>
    <definedName name="congmongdon" localSheetId="19">#REF!</definedName>
    <definedName name="congmongdon" localSheetId="3">#REF!</definedName>
    <definedName name="congmongdon">#REF!</definedName>
    <definedName name="congpanen" localSheetId="5">#REF!</definedName>
    <definedName name="congpanen" localSheetId="19">#REF!</definedName>
    <definedName name="congpanen" localSheetId="3">#REF!</definedName>
    <definedName name="congpanen">#REF!</definedName>
    <definedName name="congsan" localSheetId="5">#REF!</definedName>
    <definedName name="congsan" localSheetId="19">#REF!</definedName>
    <definedName name="congsan" localSheetId="3">#REF!</definedName>
    <definedName name="congsan">#REF!</definedName>
    <definedName name="congthang" localSheetId="5">#REF!</definedName>
    <definedName name="congthang" localSheetId="19">#REF!</definedName>
    <definedName name="congthang" localSheetId="3">#REF!</definedName>
    <definedName name="congthang">#REF!</definedName>
    <definedName name="COT" localSheetId="5">#REF!</definedName>
    <definedName name="COT" localSheetId="19">#REF!</definedName>
    <definedName name="COT" localSheetId="3">#REF!</definedName>
    <definedName name="COT">#REF!</definedName>
    <definedName name="cot7.5" localSheetId="5">#REF!</definedName>
    <definedName name="cot7.5" localSheetId="19">#REF!</definedName>
    <definedName name="cot7.5" localSheetId="3">#REF!</definedName>
    <definedName name="cot7.5">#REF!</definedName>
    <definedName name="cot8.5" localSheetId="5">#REF!</definedName>
    <definedName name="cot8.5" localSheetId="19">#REF!</definedName>
    <definedName name="cot8.5" localSheetId="3">#REF!</definedName>
    <definedName name="cot8.5">#REF!</definedName>
    <definedName name="Cotsatma">9726</definedName>
    <definedName name="Cotthepma">9726</definedName>
    <definedName name="cottron" localSheetId="5">#REF!</definedName>
    <definedName name="cottron" localSheetId="19">#REF!</definedName>
    <definedName name="cottron" localSheetId="3">#REF!</definedName>
    <definedName name="cottron">#REF!</definedName>
    <definedName name="cotvuong" localSheetId="5">#REF!</definedName>
    <definedName name="cotvuong" localSheetId="19">#REF!</definedName>
    <definedName name="cotvuong" localSheetId="3">#REF!</definedName>
    <definedName name="cotvuong">#REF!</definedName>
    <definedName name="COVER" localSheetId="5">#REF!</definedName>
    <definedName name="COVER" localSheetId="19">#REF!</definedName>
    <definedName name="COVER" localSheetId="3">#REF!</definedName>
    <definedName name="COVER">#REF!</definedName>
    <definedName name="CP" localSheetId="5" hidden="1">#REF!</definedName>
    <definedName name="CP" localSheetId="13" hidden="1">#REF!</definedName>
    <definedName name="CP" localSheetId="19" hidden="1">#REF!</definedName>
    <definedName name="CP" localSheetId="8" hidden="1">#REF!</definedName>
    <definedName name="CP" localSheetId="6" hidden="1">#REF!</definedName>
    <definedName name="CP" localSheetId="11" hidden="1">#REF!</definedName>
    <definedName name="CP" localSheetId="0" hidden="1">#REF!</definedName>
    <definedName name="CP" localSheetId="15" hidden="1">#REF!</definedName>
    <definedName name="CP" localSheetId="2" hidden="1">#REF!</definedName>
    <definedName name="CP" localSheetId="7" hidden="1">#REF!</definedName>
    <definedName name="CP" localSheetId="3" hidden="1">#REF!</definedName>
    <definedName name="CP" hidden="1">#REF!</definedName>
    <definedName name="cpmtc" localSheetId="5">#REF!</definedName>
    <definedName name="cpmtc" localSheetId="19">#REF!</definedName>
    <definedName name="cpmtc" localSheetId="3">#REF!</definedName>
    <definedName name="cpmtc">#REF!</definedName>
    <definedName name="cpnc" localSheetId="5">#REF!</definedName>
    <definedName name="cpnc" localSheetId="19">#REF!</definedName>
    <definedName name="cpnc" localSheetId="3">#REF!</definedName>
    <definedName name="cpnc">#REF!</definedName>
    <definedName name="cptt" localSheetId="5">#REF!</definedName>
    <definedName name="cptt" localSheetId="19">#REF!</definedName>
    <definedName name="cptt" localSheetId="3">#REF!</definedName>
    <definedName name="cptt">#REF!</definedName>
    <definedName name="CPVC35" localSheetId="5">#REF!</definedName>
    <definedName name="CPVC35" localSheetId="19">#REF!</definedName>
    <definedName name="CPVC35" localSheetId="3">#REF!</definedName>
    <definedName name="CPVC35">#REF!</definedName>
    <definedName name="CPVCDN" localSheetId="5">#REF!</definedName>
    <definedName name="CPVCDN" localSheetId="19">#REF!</definedName>
    <definedName name="CPVCDN" localSheetId="3">#REF!</definedName>
    <definedName name="CPVCDN">#REF!</definedName>
    <definedName name="cpvl" localSheetId="5">#REF!</definedName>
    <definedName name="cpvl" localSheetId="19">#REF!</definedName>
    <definedName name="cpvl" localSheetId="3">#REF!</definedName>
    <definedName name="cpvl">#REF!</definedName>
    <definedName name="CRD" localSheetId="5">#REF!</definedName>
    <definedName name="CRD" localSheetId="19">#REF!</definedName>
    <definedName name="CRD" localSheetId="3">#REF!</definedName>
    <definedName name="CRD">#REF!</definedName>
    <definedName name="CRITINST" localSheetId="5">#REF!</definedName>
    <definedName name="CRITINST" localSheetId="19">#REF!</definedName>
    <definedName name="CRITINST" localSheetId="3">#REF!</definedName>
    <definedName name="CRITINST">#REF!</definedName>
    <definedName name="CRITPURC" localSheetId="5">#REF!</definedName>
    <definedName name="CRITPURC" localSheetId="19">#REF!</definedName>
    <definedName name="CRITPURC" localSheetId="3">#REF!</definedName>
    <definedName name="CRITPURC">#REF!</definedName>
    <definedName name="CRS" localSheetId="5">#REF!</definedName>
    <definedName name="CRS" localSheetId="19">#REF!</definedName>
    <definedName name="CRS" localSheetId="3">#REF!</definedName>
    <definedName name="CRS">#REF!</definedName>
    <definedName name="CS" localSheetId="5">#REF!</definedName>
    <definedName name="CS" localSheetId="19">#REF!</definedName>
    <definedName name="CS" localSheetId="3">#REF!</definedName>
    <definedName name="CS">#REF!</definedName>
    <definedName name="CS_10" localSheetId="5">#REF!</definedName>
    <definedName name="CS_10" localSheetId="19">#REF!</definedName>
    <definedName name="CS_10" localSheetId="3">#REF!</definedName>
    <definedName name="CS_10">#REF!</definedName>
    <definedName name="CS_100" localSheetId="5">#REF!</definedName>
    <definedName name="CS_100" localSheetId="19">#REF!</definedName>
    <definedName name="CS_100" localSheetId="3">#REF!</definedName>
    <definedName name="CS_100">#REF!</definedName>
    <definedName name="CS_10S" localSheetId="5">#REF!</definedName>
    <definedName name="CS_10S" localSheetId="19">#REF!</definedName>
    <definedName name="CS_10S" localSheetId="3">#REF!</definedName>
    <definedName name="CS_10S">#REF!</definedName>
    <definedName name="CS_120" localSheetId="5">#REF!</definedName>
    <definedName name="CS_120" localSheetId="19">#REF!</definedName>
    <definedName name="CS_120" localSheetId="3">#REF!</definedName>
    <definedName name="CS_120">#REF!</definedName>
    <definedName name="CS_140" localSheetId="5">#REF!</definedName>
    <definedName name="CS_140" localSheetId="19">#REF!</definedName>
    <definedName name="CS_140" localSheetId="3">#REF!</definedName>
    <definedName name="CS_140">#REF!</definedName>
    <definedName name="CS_160" localSheetId="5">#REF!</definedName>
    <definedName name="CS_160" localSheetId="19">#REF!</definedName>
    <definedName name="CS_160" localSheetId="3">#REF!</definedName>
    <definedName name="CS_160">#REF!</definedName>
    <definedName name="CS_20" localSheetId="5">#REF!</definedName>
    <definedName name="CS_20" localSheetId="19">#REF!</definedName>
    <definedName name="CS_20" localSheetId="3">#REF!</definedName>
    <definedName name="CS_20">#REF!</definedName>
    <definedName name="CS_30" localSheetId="5">#REF!</definedName>
    <definedName name="CS_30" localSheetId="19">#REF!</definedName>
    <definedName name="CS_30" localSheetId="3">#REF!</definedName>
    <definedName name="CS_30">#REF!</definedName>
    <definedName name="CS_40" localSheetId="5">#REF!</definedName>
    <definedName name="CS_40" localSheetId="19">#REF!</definedName>
    <definedName name="CS_40" localSheetId="3">#REF!</definedName>
    <definedName name="CS_40">#REF!</definedName>
    <definedName name="CS_40S" localSheetId="5">#REF!</definedName>
    <definedName name="CS_40S" localSheetId="19">#REF!</definedName>
    <definedName name="CS_40S" localSheetId="3">#REF!</definedName>
    <definedName name="CS_40S">#REF!</definedName>
    <definedName name="CS_5S" localSheetId="5">#REF!</definedName>
    <definedName name="CS_5S" localSheetId="19">#REF!</definedName>
    <definedName name="CS_5S" localSheetId="3">#REF!</definedName>
    <definedName name="CS_5S">#REF!</definedName>
    <definedName name="CS_60" localSheetId="5">#REF!</definedName>
    <definedName name="CS_60" localSheetId="19">#REF!</definedName>
    <definedName name="CS_60" localSheetId="3">#REF!</definedName>
    <definedName name="CS_60">#REF!</definedName>
    <definedName name="CS_80" localSheetId="5">#REF!</definedName>
    <definedName name="CS_80" localSheetId="19">#REF!</definedName>
    <definedName name="CS_80" localSheetId="3">#REF!</definedName>
    <definedName name="CS_80">#REF!</definedName>
    <definedName name="CS_80S" localSheetId="5">#REF!</definedName>
    <definedName name="CS_80S" localSheetId="19">#REF!</definedName>
    <definedName name="CS_80S" localSheetId="3">#REF!</definedName>
    <definedName name="CS_80S">#REF!</definedName>
    <definedName name="CS_STD" localSheetId="5">#REF!</definedName>
    <definedName name="CS_STD" localSheetId="19">#REF!</definedName>
    <definedName name="CS_STD" localSheetId="3">#REF!</definedName>
    <definedName name="CS_STD">#REF!</definedName>
    <definedName name="CS_XS" localSheetId="5">#REF!</definedName>
    <definedName name="CS_XS" localSheetId="19">#REF!</definedName>
    <definedName name="CS_XS" localSheetId="3">#REF!</definedName>
    <definedName name="CS_XS">#REF!</definedName>
    <definedName name="CS_XXS" localSheetId="5">#REF!</definedName>
    <definedName name="CS_XXS" localSheetId="19">#REF!</definedName>
    <definedName name="CS_XXS" localSheetId="3">#REF!</definedName>
    <definedName name="CS_XXS">#REF!</definedName>
    <definedName name="csd3p" localSheetId="5">#REF!</definedName>
    <definedName name="csd3p" localSheetId="19">#REF!</definedName>
    <definedName name="csd3p" localSheetId="3">#REF!</definedName>
    <definedName name="csd3p">#REF!</definedName>
    <definedName name="csddg1p" localSheetId="5">#REF!</definedName>
    <definedName name="csddg1p" localSheetId="19">#REF!</definedName>
    <definedName name="csddg1p" localSheetId="3">#REF!</definedName>
    <definedName name="csddg1p">#REF!</definedName>
    <definedName name="csddt1p" localSheetId="5">#REF!</definedName>
    <definedName name="csddt1p" localSheetId="19">#REF!</definedName>
    <definedName name="csddt1p" localSheetId="3">#REF!</definedName>
    <definedName name="csddt1p">#REF!</definedName>
    <definedName name="csht3p" localSheetId="5">#REF!</definedName>
    <definedName name="csht3p" localSheetId="19">#REF!</definedName>
    <definedName name="csht3p" localSheetId="3">#REF!</definedName>
    <definedName name="csht3p">#REF!</definedName>
    <definedName name="CTCT1" localSheetId="5" hidden="1">{"'Sheet1'!$L$16"}</definedName>
    <definedName name="CTCT1" localSheetId="13" hidden="1">{"'Sheet1'!$L$16"}</definedName>
    <definedName name="CTCT1" hidden="1">{"'Sheet1'!$L$16"}</definedName>
    <definedName name="ctiep" localSheetId="5">#REF!</definedName>
    <definedName name="ctiep" localSheetId="19">#REF!</definedName>
    <definedName name="ctiep" localSheetId="3">#REF!</definedName>
    <definedName name="ctiep">#REF!</definedName>
    <definedName name="CTIET" localSheetId="5">#REF!</definedName>
    <definedName name="CTIET" localSheetId="19">#REF!</definedName>
    <definedName name="CTIET" localSheetId="3">#REF!</definedName>
    <definedName name="CTIET">#REF!</definedName>
    <definedName name="CU_LY_VAN_CHUYEN_GIA_QUYEN" localSheetId="5">#REF!</definedName>
    <definedName name="CU_LY_VAN_CHUYEN_GIA_QUYEN" localSheetId="19">#REF!</definedName>
    <definedName name="CU_LY_VAN_CHUYEN_GIA_QUYEN" localSheetId="3">#REF!</definedName>
    <definedName name="CU_LY_VAN_CHUYEN_GIA_QUYEN">#REF!</definedName>
    <definedName name="CU_LY_VAN_CHUYEN_THU_CONG" localSheetId="5">#REF!</definedName>
    <definedName name="CU_LY_VAN_CHUYEN_THU_CONG" localSheetId="19">#REF!</definedName>
    <definedName name="CU_LY_VAN_CHUYEN_THU_CONG" localSheetId="3">#REF!</definedName>
    <definedName name="CU_LY_VAN_CHUYEN_THU_CONG">#REF!</definedName>
    <definedName name="CURRENCY" localSheetId="5">#REF!</definedName>
    <definedName name="CURRENCY" localSheetId="19">#REF!</definedName>
    <definedName name="CURRENCY" localSheetId="3">#REF!</definedName>
    <definedName name="CURRENCY">#REF!</definedName>
    <definedName name="cx" localSheetId="5">#REF!</definedName>
    <definedName name="cx" localSheetId="13" hidden="1">{"'Sheet1'!$L$16"}</definedName>
    <definedName name="cx" hidden="1">{"'Sheet1'!$L$16"}</definedName>
    <definedName name="CH" localSheetId="5">#REF!</definedName>
    <definedName name="CH" localSheetId="19">#REF!</definedName>
    <definedName name="CH" localSheetId="3">#REF!</definedName>
    <definedName name="CH">#REF!</definedName>
    <definedName name="chitietbgiang2" localSheetId="5" hidden="1">{"'Sheet1'!$L$16"}</definedName>
    <definedName name="chitietbgiang2" localSheetId="13" hidden="1">{"'Sheet1'!$L$16"}</definedName>
    <definedName name="chitietbgiang2" hidden="1">{"'Sheet1'!$L$16"}</definedName>
    <definedName name="chon" localSheetId="5">#REF!</definedName>
    <definedName name="chon" localSheetId="19">#REF!</definedName>
    <definedName name="chon" localSheetId="3">#REF!</definedName>
    <definedName name="chon">#REF!</definedName>
    <definedName name="chon1" localSheetId="5">#REF!</definedName>
    <definedName name="chon1" localSheetId="19">#REF!</definedName>
    <definedName name="chon1" localSheetId="3">#REF!</definedName>
    <definedName name="chon1">#REF!</definedName>
    <definedName name="chon2" localSheetId="5">#REF!</definedName>
    <definedName name="chon2" localSheetId="19">#REF!</definedName>
    <definedName name="chon2" localSheetId="3">#REF!</definedName>
    <definedName name="chon2">#REF!</definedName>
    <definedName name="chon3" localSheetId="5">#REF!</definedName>
    <definedName name="chon3" localSheetId="19">#REF!</definedName>
    <definedName name="chon3" localSheetId="3">#REF!</definedName>
    <definedName name="chon3">#REF!</definedName>
    <definedName name="d" localSheetId="5" hidden="1">{"'Sheet1'!$L$16"}</definedName>
    <definedName name="d" localSheetId="13" hidden="1">{"'Sheet1'!$L$16"}</definedName>
    <definedName name="d" hidden="1">{"'Sheet1'!$L$16"}</definedName>
    <definedName name="D_7101A_B" localSheetId="5">#REF!</definedName>
    <definedName name="D_7101A_B" localSheetId="19">#REF!</definedName>
    <definedName name="D_7101A_B" localSheetId="3">#REF!</definedName>
    <definedName name="D_7101A_B">#REF!</definedName>
    <definedName name="da1x2" localSheetId="5">#REF!</definedName>
    <definedName name="da1x2" localSheetId="19">#REF!</definedName>
    <definedName name="da1x2" localSheetId="3">#REF!</definedName>
    <definedName name="da1x2">#REF!</definedName>
    <definedName name="dahoc" localSheetId="5">#REF!</definedName>
    <definedName name="dahoc" localSheetId="19">#REF!</definedName>
    <definedName name="dahoc" localSheetId="3">#REF!</definedName>
    <definedName name="dahoc">#REF!</definedName>
    <definedName name="dam" localSheetId="5">#REF!</definedName>
    <definedName name="dam" localSheetId="19">#REF!</definedName>
    <definedName name="dam" localSheetId="3">#REF!</definedName>
    <definedName name="dam">#REF!</definedName>
    <definedName name="danducsan" localSheetId="5">#REF!</definedName>
    <definedName name="danducsan" localSheetId="19">#REF!</definedName>
    <definedName name="danducsan" localSheetId="3">#REF!</definedName>
    <definedName name="danducsan">#REF!</definedName>
    <definedName name="dao" localSheetId="5">#REF!</definedName>
    <definedName name="dao" localSheetId="19">#REF!</definedName>
    <definedName name="dao" localSheetId="3">#REF!</definedName>
    <definedName name="dao">#REF!</definedName>
    <definedName name="dap" localSheetId="5">#REF!</definedName>
    <definedName name="dap" localSheetId="19">#REF!</definedName>
    <definedName name="dap" localSheetId="3">#REF!</definedName>
    <definedName name="dap">#REF!</definedName>
    <definedName name="DAT" localSheetId="5">#REF!</definedName>
    <definedName name="DAT" localSheetId="19">#REF!</definedName>
    <definedName name="DAT" localSheetId="3">#REF!</definedName>
    <definedName name="DAT">#REF!</definedName>
    <definedName name="DATA_DATA2_List" localSheetId="5">#REF!</definedName>
    <definedName name="DATA_DATA2_List" localSheetId="19">#REF!</definedName>
    <definedName name="DATA_DATA2_List" localSheetId="3">#REF!</definedName>
    <definedName name="DATA_DATA2_List">#REF!</definedName>
    <definedName name="data3" localSheetId="5" hidden="1">#REF!</definedName>
    <definedName name="data3" localSheetId="13" hidden="1">#REF!</definedName>
    <definedName name="data3" localSheetId="19" hidden="1">#REF!</definedName>
    <definedName name="data3" localSheetId="8" hidden="1">#REF!</definedName>
    <definedName name="data3" localSheetId="6" hidden="1">#REF!</definedName>
    <definedName name="data3" localSheetId="11" hidden="1">#REF!</definedName>
    <definedName name="data3" localSheetId="0" hidden="1">#REF!</definedName>
    <definedName name="data3" localSheetId="15" hidden="1">#REF!</definedName>
    <definedName name="data3" localSheetId="2" hidden="1">#REF!</definedName>
    <definedName name="data3" localSheetId="7" hidden="1">#REF!</definedName>
    <definedName name="data3" localSheetId="3" hidden="1">#REF!</definedName>
    <definedName name="data3" hidden="1">#REF!</definedName>
    <definedName name="_xlnm.Database" localSheetId="5">#REF!</definedName>
    <definedName name="_xlnm.Database" localSheetId="19">#REF!</definedName>
    <definedName name="_xlnm.Database" localSheetId="3">#REF!</definedName>
    <definedName name="_xlnm.Database">#REF!</definedName>
    <definedName name="DCL_22">12117600</definedName>
    <definedName name="DCL_35">25490000</definedName>
    <definedName name="DD" localSheetId="5">#REF!</definedName>
    <definedName name="DD" localSheetId="19">#REF!</definedName>
    <definedName name="DD" localSheetId="3">#REF!</definedName>
    <definedName name="DD">#REF!</definedName>
    <definedName name="DDAY" localSheetId="5">#REF!</definedName>
    <definedName name="DDAY" localSheetId="19">#REF!</definedName>
    <definedName name="DDAY" localSheetId="3">#REF!</definedName>
    <definedName name="DDAY">#REF!</definedName>
    <definedName name="DDK" localSheetId="5">#REF!</definedName>
    <definedName name="DDK" localSheetId="19">#REF!</definedName>
    <definedName name="DDK" localSheetId="3">#REF!</definedName>
    <definedName name="DDK">#REF!</definedName>
    <definedName name="den_bu" localSheetId="5">#REF!</definedName>
    <definedName name="den_bu" localSheetId="19">#REF!</definedName>
    <definedName name="den_bu" localSheetId="3">#REF!</definedName>
    <definedName name="den_bu">#REF!</definedName>
    <definedName name="denbu" localSheetId="5">#REF!</definedName>
    <definedName name="denbu" localSheetId="19">#REF!</definedName>
    <definedName name="denbu" localSheetId="3">#REF!</definedName>
    <definedName name="denbu">#REF!</definedName>
    <definedName name="DenDK" localSheetId="5" hidden="1">{"'Sheet1'!$L$16"}</definedName>
    <definedName name="DenDK" localSheetId="13" hidden="1">{"'Sheet1'!$L$16"}</definedName>
    <definedName name="DenDK" hidden="1">{"'Sheet1'!$L$16"}</definedName>
    <definedName name="Det32x3" localSheetId="5">#REF!</definedName>
    <definedName name="Det32x3" localSheetId="19">#REF!</definedName>
    <definedName name="Det32x3" localSheetId="3">#REF!</definedName>
    <definedName name="Det32x3">#REF!</definedName>
    <definedName name="Det35x3" localSheetId="5">#REF!</definedName>
    <definedName name="Det35x3" localSheetId="19">#REF!</definedName>
    <definedName name="Det35x3" localSheetId="3">#REF!</definedName>
    <definedName name="Det35x3">#REF!</definedName>
    <definedName name="Det40x4" localSheetId="5">#REF!</definedName>
    <definedName name="Det40x4" localSheetId="19">#REF!</definedName>
    <definedName name="Det40x4" localSheetId="3">#REF!</definedName>
    <definedName name="Det40x4">#REF!</definedName>
    <definedName name="Det50x5" localSheetId="5">#REF!</definedName>
    <definedName name="Det50x5" localSheetId="19">#REF!</definedName>
    <definedName name="Det50x5" localSheetId="3">#REF!</definedName>
    <definedName name="Det50x5">#REF!</definedName>
    <definedName name="Det63x6" localSheetId="5">#REF!</definedName>
    <definedName name="Det63x6" localSheetId="19">#REF!</definedName>
    <definedName name="Det63x6" localSheetId="3">#REF!</definedName>
    <definedName name="Det63x6">#REF!</definedName>
    <definedName name="Det75x6" localSheetId="5">#REF!</definedName>
    <definedName name="Det75x6" localSheetId="19">#REF!</definedName>
    <definedName name="Det75x6" localSheetId="3">#REF!</definedName>
    <definedName name="Det75x6">#REF!</definedName>
    <definedName name="dgbdII" localSheetId="5">#REF!</definedName>
    <definedName name="dgbdII" localSheetId="19">#REF!</definedName>
    <definedName name="dgbdII" localSheetId="3">#REF!</definedName>
    <definedName name="dgbdII">#REF!</definedName>
    <definedName name="DGCTI592" localSheetId="5">#REF!</definedName>
    <definedName name="DGCTI592" localSheetId="19">#REF!</definedName>
    <definedName name="DGCTI592" localSheetId="3">#REF!</definedName>
    <definedName name="DGCTI592">#REF!</definedName>
    <definedName name="dgctp2" localSheetId="5" hidden="1">{"'Sheet1'!$L$16"}</definedName>
    <definedName name="dgctp2" localSheetId="13" hidden="1">{"'Sheet1'!$L$16"}</definedName>
    <definedName name="dgctp2" hidden="1">{"'Sheet1'!$L$16"}</definedName>
    <definedName name="DGNC" localSheetId="5">#REF!</definedName>
    <definedName name="DGNC" localSheetId="19">#REF!</definedName>
    <definedName name="DGNC" localSheetId="3">#REF!</definedName>
    <definedName name="DGNC">#REF!</definedName>
    <definedName name="dgqndn" localSheetId="5">#REF!</definedName>
    <definedName name="dgqndn" localSheetId="19">#REF!</definedName>
    <definedName name="dgqndn" localSheetId="3">#REF!</definedName>
    <definedName name="dgqndn">#REF!</definedName>
    <definedName name="DGTV" localSheetId="5">#REF!</definedName>
    <definedName name="DGTV" localSheetId="19">#REF!</definedName>
    <definedName name="DGTV" localSheetId="3">#REF!</definedName>
    <definedName name="DGTV">#REF!</definedName>
    <definedName name="dgvl" localSheetId="5">#REF!</definedName>
    <definedName name="dgvl" localSheetId="19">#REF!</definedName>
    <definedName name="dgvl" localSheetId="3">#REF!</definedName>
    <definedName name="dgvl">#REF!</definedName>
    <definedName name="DGVT" localSheetId="5">#REF!</definedName>
    <definedName name="DGVT" localSheetId="19">#REF!</definedName>
    <definedName name="DGVT" localSheetId="3">#REF!</definedName>
    <definedName name="DGVT">#REF!</definedName>
    <definedName name="dhom" localSheetId="5">#REF!</definedName>
    <definedName name="dhom" localSheetId="19">#REF!</definedName>
    <definedName name="dhom" localSheetId="3">#REF!</definedName>
    <definedName name="dhom">#REF!</definedName>
    <definedName name="dien" localSheetId="5">#REF!</definedName>
    <definedName name="dien" localSheetId="19">#REF!</definedName>
    <definedName name="dien" localSheetId="3">#REF!</definedName>
    <definedName name="dien">#REF!</definedName>
    <definedName name="dientichck" localSheetId="5">#REF!</definedName>
    <definedName name="dientichck" localSheetId="19">#REF!</definedName>
    <definedName name="dientichck" localSheetId="3">#REF!</definedName>
    <definedName name="dientichck">#REF!</definedName>
    <definedName name="dinh2" localSheetId="5">#REF!</definedName>
    <definedName name="dinh2" localSheetId="19">#REF!</definedName>
    <definedName name="dinh2" localSheetId="3">#REF!</definedName>
    <definedName name="dinh2">#REF!</definedName>
    <definedName name="Discount" localSheetId="5" hidden="1">#REF!</definedName>
    <definedName name="Discount" localSheetId="13" hidden="1">#REF!</definedName>
    <definedName name="Discount" localSheetId="19" hidden="1">#REF!</definedName>
    <definedName name="Discount" localSheetId="8" hidden="1">#REF!</definedName>
    <definedName name="Discount" localSheetId="6" hidden="1">#REF!</definedName>
    <definedName name="Discount" localSheetId="11" hidden="1">#REF!</definedName>
    <definedName name="Discount" localSheetId="0" hidden="1">#REF!</definedName>
    <definedName name="Discount" localSheetId="15" hidden="1">#REF!</definedName>
    <definedName name="Discount" localSheetId="2" hidden="1">#REF!</definedName>
    <definedName name="Discount" localSheetId="7" hidden="1">#REF!</definedName>
    <definedName name="Discount" localSheetId="3" hidden="1">#REF!</definedName>
    <definedName name="Discount" hidden="1">#REF!</definedName>
    <definedName name="display_area_2" localSheetId="5" hidden="1">#REF!</definedName>
    <definedName name="display_area_2" localSheetId="13" hidden="1">#REF!</definedName>
    <definedName name="display_area_2" localSheetId="19" hidden="1">#REF!</definedName>
    <definedName name="display_area_2" localSheetId="8" hidden="1">#REF!</definedName>
    <definedName name="display_area_2" localSheetId="6" hidden="1">#REF!</definedName>
    <definedName name="display_area_2" localSheetId="11" hidden="1">#REF!</definedName>
    <definedName name="display_area_2" localSheetId="0" hidden="1">#REF!</definedName>
    <definedName name="display_area_2" localSheetId="15" hidden="1">#REF!</definedName>
    <definedName name="display_area_2" localSheetId="2" hidden="1">#REF!</definedName>
    <definedName name="display_area_2" localSheetId="7" hidden="1">#REF!</definedName>
    <definedName name="display_area_2" localSheetId="3" hidden="1">#REF!</definedName>
    <definedName name="display_area_2" hidden="1">#REF!</definedName>
    <definedName name="DLCC" localSheetId="5">#REF!</definedName>
    <definedName name="DLCC" localSheetId="19">#REF!</definedName>
    <definedName name="DLCC" localSheetId="3">#REF!</definedName>
    <definedName name="DLCC">#REF!</definedName>
    <definedName name="DM" localSheetId="5">#REF!</definedName>
    <definedName name="DM" localSheetId="19">#REF!</definedName>
    <definedName name="DM" localSheetId="3">#REF!</definedName>
    <definedName name="DM">#REF!</definedName>
    <definedName name="dm56bxd" localSheetId="5">#REF!</definedName>
    <definedName name="dm56bxd" localSheetId="19">#REF!</definedName>
    <definedName name="dm56bxd" localSheetId="3">#REF!</definedName>
    <definedName name="dm56bxd">#REF!</definedName>
    <definedName name="DN" localSheetId="5">#REF!</definedName>
    <definedName name="DN" localSheetId="19">#REF!</definedName>
    <definedName name="DN" localSheetId="3">#REF!</definedName>
    <definedName name="DN">#REF!</definedName>
    <definedName name="DÑt45x4" localSheetId="5">#REF!</definedName>
    <definedName name="DÑt45x4" localSheetId="19">#REF!</definedName>
    <definedName name="DÑt45x4" localSheetId="3">#REF!</definedName>
    <definedName name="DÑt45x4">#REF!</definedName>
    <definedName name="doan1" localSheetId="5">#REF!</definedName>
    <definedName name="doan1" localSheetId="19">#REF!</definedName>
    <definedName name="doan1" localSheetId="3">#REF!</definedName>
    <definedName name="doan1">#REF!</definedName>
    <definedName name="doan2" localSheetId="5">#REF!</definedName>
    <definedName name="doan2" localSheetId="19">#REF!</definedName>
    <definedName name="doan2" localSheetId="3">#REF!</definedName>
    <definedName name="doan2">#REF!</definedName>
    <definedName name="doan3" localSheetId="5">#REF!</definedName>
    <definedName name="doan3" localSheetId="19">#REF!</definedName>
    <definedName name="doan3" localSheetId="3">#REF!</definedName>
    <definedName name="doan3">#REF!</definedName>
    <definedName name="doan4" localSheetId="5">#REF!</definedName>
    <definedName name="doan4" localSheetId="19">#REF!</definedName>
    <definedName name="doan4" localSheetId="3">#REF!</definedName>
    <definedName name="doan4">#REF!</definedName>
    <definedName name="doan5" localSheetId="5">#REF!</definedName>
    <definedName name="doan5" localSheetId="19">#REF!</definedName>
    <definedName name="doan5" localSheetId="3">#REF!</definedName>
    <definedName name="doan5">#REF!</definedName>
    <definedName name="doan6" localSheetId="5">#REF!</definedName>
    <definedName name="doan6" localSheetId="19">#REF!</definedName>
    <definedName name="doan6" localSheetId="3">#REF!</definedName>
    <definedName name="doan6">#REF!</definedName>
    <definedName name="Document_array">{"Thuxm2.xls","Sheet1"}</definedName>
    <definedName name="DON_GIA_3282" localSheetId="5">#REF!</definedName>
    <definedName name="DON_GIA_3282" localSheetId="19">#REF!</definedName>
    <definedName name="DON_GIA_3282" localSheetId="3">#REF!</definedName>
    <definedName name="DON_GIA_3282">#REF!</definedName>
    <definedName name="DON_GIA_3283" localSheetId="5">#REF!</definedName>
    <definedName name="DON_GIA_3283" localSheetId="19">#REF!</definedName>
    <definedName name="DON_GIA_3283" localSheetId="3">#REF!</definedName>
    <definedName name="DON_GIA_3283">#REF!</definedName>
    <definedName name="DON_GIA_3285" localSheetId="5">#REF!</definedName>
    <definedName name="DON_GIA_3285" localSheetId="19">#REF!</definedName>
    <definedName name="DON_GIA_3285" localSheetId="3">#REF!</definedName>
    <definedName name="DON_GIA_3285">#REF!</definedName>
    <definedName name="DON_GIA_VAN_CHUYEN_36" localSheetId="5">#REF!</definedName>
    <definedName name="DON_GIA_VAN_CHUYEN_36" localSheetId="19">#REF!</definedName>
    <definedName name="DON_GIA_VAN_CHUYEN_36" localSheetId="3">#REF!</definedName>
    <definedName name="DON_GIA_VAN_CHUYEN_36">#REF!</definedName>
    <definedName name="dongia" localSheetId="5">#REF!</definedName>
    <definedName name="dongia" localSheetId="19">#REF!</definedName>
    <definedName name="dongia" localSheetId="3">#REF!</definedName>
    <definedName name="dongia">#REF!</definedName>
    <definedName name="ds" localSheetId="5" hidden="1">{#N/A,#N/A,FALSE,"Chi tiÆt"}</definedName>
    <definedName name="ds" localSheetId="13" hidden="1">{#N/A,#N/A,FALSE,"Chi tiÆt"}</definedName>
    <definedName name="ds" hidden="1">{#N/A,#N/A,FALSE,"Chi tiÆt"}</definedName>
    <definedName name="DS1p1vc" localSheetId="5">#REF!</definedName>
    <definedName name="DS1p1vc" localSheetId="19">#REF!</definedName>
    <definedName name="DS1p1vc" localSheetId="3">#REF!</definedName>
    <definedName name="DS1p1vc">#REF!</definedName>
    <definedName name="ds1p2nc" localSheetId="5">#REF!</definedName>
    <definedName name="ds1p2nc" localSheetId="19">#REF!</definedName>
    <definedName name="ds1p2nc" localSheetId="3">#REF!</definedName>
    <definedName name="ds1p2nc">#REF!</definedName>
    <definedName name="ds1p2vc" localSheetId="5">#REF!</definedName>
    <definedName name="ds1p2vc" localSheetId="19">#REF!</definedName>
    <definedName name="ds1p2vc" localSheetId="3">#REF!</definedName>
    <definedName name="ds1p2vc">#REF!</definedName>
    <definedName name="ds1pnc" localSheetId="5">#REF!</definedName>
    <definedName name="ds1pnc" localSheetId="19">#REF!</definedName>
    <definedName name="ds1pnc" localSheetId="3">#REF!</definedName>
    <definedName name="ds1pnc">#REF!</definedName>
    <definedName name="ds1pvl" localSheetId="5">#REF!</definedName>
    <definedName name="ds1pvl" localSheetId="19">#REF!</definedName>
    <definedName name="ds1pvl" localSheetId="3">#REF!</definedName>
    <definedName name="ds1pvl">#REF!</definedName>
    <definedName name="ds3pctnc" localSheetId="5">#REF!</definedName>
    <definedName name="ds3pctnc" localSheetId="19">#REF!</definedName>
    <definedName name="ds3pctnc" localSheetId="3">#REF!</definedName>
    <definedName name="ds3pctnc">#REF!</definedName>
    <definedName name="ds3pctvc" localSheetId="5">#REF!</definedName>
    <definedName name="ds3pctvc" localSheetId="19">#REF!</definedName>
    <definedName name="ds3pctvc" localSheetId="3">#REF!</definedName>
    <definedName name="ds3pctvc">#REF!</definedName>
    <definedName name="ds3pctvl" localSheetId="5">#REF!</definedName>
    <definedName name="ds3pctvl" localSheetId="19">#REF!</definedName>
    <definedName name="ds3pctvl" localSheetId="3">#REF!</definedName>
    <definedName name="ds3pctvl">#REF!</definedName>
    <definedName name="dsad" localSheetId="5" hidden="1">{"'Sheet1'!$L$16"}</definedName>
    <definedName name="dsad" localSheetId="13" hidden="1">{"'Sheet1'!$L$16"}</definedName>
    <definedName name="dsad" hidden="1">{"'Sheet1'!$L$16"}</definedName>
    <definedName name="dsada" localSheetId="5" hidden="1">{"'Sheet1'!$L$16"}</definedName>
    <definedName name="dsada" localSheetId="13" hidden="1">{"'Sheet1'!$L$16"}</definedName>
    <definedName name="dsada" hidden="1">{"'Sheet1'!$L$16"}</definedName>
    <definedName name="DSPK1p1nc" localSheetId="5">#REF!</definedName>
    <definedName name="DSPK1p1nc" localSheetId="19">#REF!</definedName>
    <definedName name="DSPK1p1nc" localSheetId="3">#REF!</definedName>
    <definedName name="DSPK1p1nc">#REF!</definedName>
    <definedName name="DSPK1p1vl" localSheetId="5">#REF!</definedName>
    <definedName name="DSPK1p1vl" localSheetId="19">#REF!</definedName>
    <definedName name="DSPK1p1vl" localSheetId="3">#REF!</definedName>
    <definedName name="DSPK1p1vl">#REF!</definedName>
    <definedName name="DSPK1pnc" localSheetId="5">#REF!</definedName>
    <definedName name="DSPK1pnc" localSheetId="19">#REF!</definedName>
    <definedName name="DSPK1pnc" localSheetId="3">#REF!</definedName>
    <definedName name="DSPK1pnc">#REF!</definedName>
    <definedName name="DSPK1pvl" localSheetId="5">#REF!</definedName>
    <definedName name="DSPK1pvl" localSheetId="19">#REF!</definedName>
    <definedName name="DSPK1pvl" localSheetId="3">#REF!</definedName>
    <definedName name="DSPK1pvl">#REF!</definedName>
    <definedName name="DSUMDATA" localSheetId="5">#REF!</definedName>
    <definedName name="DSUMDATA" localSheetId="19">#REF!</definedName>
    <definedName name="DSUMDATA" localSheetId="3">#REF!</definedName>
    <definedName name="DSUMDATA">#REF!</definedName>
    <definedName name="dtich1" localSheetId="5">#REF!</definedName>
    <definedName name="dtich1" localSheetId="19">#REF!</definedName>
    <definedName name="dtich1" localSheetId="3">#REF!</definedName>
    <definedName name="dtich1">#REF!</definedName>
    <definedName name="dtich2" localSheetId="5">#REF!</definedName>
    <definedName name="dtich2" localSheetId="19">#REF!</definedName>
    <definedName name="dtich2" localSheetId="3">#REF!</definedName>
    <definedName name="dtich2">#REF!</definedName>
    <definedName name="dtich3" localSheetId="5">#REF!</definedName>
    <definedName name="dtich3" localSheetId="19">#REF!</definedName>
    <definedName name="dtich3" localSheetId="3">#REF!</definedName>
    <definedName name="dtich3">#REF!</definedName>
    <definedName name="dtich4" localSheetId="5">#REF!</definedName>
    <definedName name="dtich4" localSheetId="19">#REF!</definedName>
    <definedName name="dtich4" localSheetId="3">#REF!</definedName>
    <definedName name="dtich4">#REF!</definedName>
    <definedName name="dtich5" localSheetId="5">#REF!</definedName>
    <definedName name="dtich5" localSheetId="19">#REF!</definedName>
    <definedName name="dtich5" localSheetId="3">#REF!</definedName>
    <definedName name="dtich5">#REF!</definedName>
    <definedName name="dtich6" localSheetId="5">#REF!</definedName>
    <definedName name="dtich6" localSheetId="19">#REF!</definedName>
    <definedName name="dtich6" localSheetId="3">#REF!</definedName>
    <definedName name="dtich6">#REF!</definedName>
    <definedName name="DU_TOAN_CHI_TIET_CONG_TO" localSheetId="5">#REF!</definedName>
    <definedName name="DU_TOAN_CHI_TIET_CONG_TO" localSheetId="19">#REF!</definedName>
    <definedName name="DU_TOAN_CHI_TIET_CONG_TO" localSheetId="3">#REF!</definedName>
    <definedName name="DU_TOAN_CHI_TIET_CONG_TO">#REF!</definedName>
    <definedName name="DU_TOAN_CHI_TIET_DZ22KV" localSheetId="5">#REF!</definedName>
    <definedName name="DU_TOAN_CHI_TIET_DZ22KV" localSheetId="19">#REF!</definedName>
    <definedName name="DU_TOAN_CHI_TIET_DZ22KV" localSheetId="3">#REF!</definedName>
    <definedName name="DU_TOAN_CHI_TIET_DZ22KV">#REF!</definedName>
    <definedName name="DU_TOAN_CHI_TIET_KHO_BAI" localSheetId="5">#REF!</definedName>
    <definedName name="DU_TOAN_CHI_TIET_KHO_BAI" localSheetId="19">#REF!</definedName>
    <definedName name="DU_TOAN_CHI_TIET_KHO_BAI" localSheetId="3">#REF!</definedName>
    <definedName name="DU_TOAN_CHI_TIET_KHO_BAI">#REF!</definedName>
    <definedName name="DutoanDongmo" localSheetId="5">#REF!</definedName>
    <definedName name="DutoanDongmo" localSheetId="19">#REF!</definedName>
    <definedName name="DutoanDongmo" localSheetId="3">#REF!</definedName>
    <definedName name="DutoanDongmo">#REF!</definedName>
    <definedName name="DWPRICE" localSheetId="5" hidden="1">[2]Quantity!#REF!</definedName>
    <definedName name="DWPRICE" localSheetId="19" hidden="1">[2]Quantity!#REF!</definedName>
    <definedName name="DWPRICE" localSheetId="8" hidden="1">[2]Quantity!#REF!</definedName>
    <definedName name="DWPRICE" localSheetId="6" hidden="1">[2]Quantity!#REF!</definedName>
    <definedName name="DWPRICE" localSheetId="11" hidden="1">[2]Quantity!#REF!</definedName>
    <definedName name="DWPRICE" localSheetId="0" hidden="1">[2]Quantity!#REF!</definedName>
    <definedName name="DWPRICE" localSheetId="15" hidden="1">[2]Quantity!#REF!</definedName>
    <definedName name="DWPRICE" localSheetId="2" hidden="1">[2]Quantity!#REF!</definedName>
    <definedName name="DWPRICE" localSheetId="7" hidden="1">[2]Quantity!#REF!</definedName>
    <definedName name="DWPRICE" localSheetId="3" hidden="1">[2]Quantity!#REF!</definedName>
    <definedName name="DWPRICE" hidden="1">[2]Quantity!#REF!</definedName>
    <definedName name="emb" localSheetId="5">#REF!</definedName>
    <definedName name="emb" localSheetId="19">#REF!</definedName>
    <definedName name="emb" localSheetId="3">#REF!</definedName>
    <definedName name="emb">#REF!</definedName>
    <definedName name="End_1" localSheetId="5">#REF!</definedName>
    <definedName name="End_1" localSheetId="19">#REF!</definedName>
    <definedName name="End_1" localSheetId="3">#REF!</definedName>
    <definedName name="End_1">#REF!</definedName>
    <definedName name="End_10" localSheetId="5">#REF!</definedName>
    <definedName name="End_10" localSheetId="19">#REF!</definedName>
    <definedName name="End_10" localSheetId="3">#REF!</definedName>
    <definedName name="End_10">#REF!</definedName>
    <definedName name="End_11" localSheetId="5">#REF!</definedName>
    <definedName name="End_11" localSheetId="19">#REF!</definedName>
    <definedName name="End_11" localSheetId="3">#REF!</definedName>
    <definedName name="End_11">#REF!</definedName>
    <definedName name="End_12" localSheetId="5">#REF!</definedName>
    <definedName name="End_12" localSheetId="19">#REF!</definedName>
    <definedName name="End_12" localSheetId="3">#REF!</definedName>
    <definedName name="End_12">#REF!</definedName>
    <definedName name="End_13" localSheetId="5">#REF!</definedName>
    <definedName name="End_13" localSheetId="19">#REF!</definedName>
    <definedName name="End_13" localSheetId="3">#REF!</definedName>
    <definedName name="End_13">#REF!</definedName>
    <definedName name="End_2" localSheetId="5">#REF!</definedName>
    <definedName name="End_2" localSheetId="19">#REF!</definedName>
    <definedName name="End_2" localSheetId="3">#REF!</definedName>
    <definedName name="End_2">#REF!</definedName>
    <definedName name="End_3" localSheetId="5">#REF!</definedName>
    <definedName name="End_3" localSheetId="19">#REF!</definedName>
    <definedName name="End_3" localSheetId="3">#REF!</definedName>
    <definedName name="End_3">#REF!</definedName>
    <definedName name="End_4" localSheetId="5">#REF!</definedName>
    <definedName name="End_4" localSheetId="19">#REF!</definedName>
    <definedName name="End_4" localSheetId="3">#REF!</definedName>
    <definedName name="End_4">#REF!</definedName>
    <definedName name="End_5" localSheetId="5">#REF!</definedName>
    <definedName name="End_5" localSheetId="19">#REF!</definedName>
    <definedName name="End_5" localSheetId="3">#REF!</definedName>
    <definedName name="End_5">#REF!</definedName>
    <definedName name="End_6" localSheetId="5">#REF!</definedName>
    <definedName name="End_6" localSheetId="19">#REF!</definedName>
    <definedName name="End_6" localSheetId="3">#REF!</definedName>
    <definedName name="End_6">#REF!</definedName>
    <definedName name="End_7" localSheetId="5">#REF!</definedName>
    <definedName name="End_7" localSheetId="19">#REF!</definedName>
    <definedName name="End_7" localSheetId="3">#REF!</definedName>
    <definedName name="End_7">#REF!</definedName>
    <definedName name="End_8" localSheetId="5">#REF!</definedName>
    <definedName name="End_8" localSheetId="19">#REF!</definedName>
    <definedName name="End_8" localSheetId="3">#REF!</definedName>
    <definedName name="End_8">#REF!</definedName>
    <definedName name="End_9" localSheetId="5">#REF!</definedName>
    <definedName name="End_9" localSheetId="19">#REF!</definedName>
    <definedName name="End_9" localSheetId="3">#REF!</definedName>
    <definedName name="End_9">#REF!</definedName>
    <definedName name="ex" localSheetId="5">#REF!</definedName>
    <definedName name="ex" localSheetId="19">#REF!</definedName>
    <definedName name="ex" localSheetId="3">#REF!</definedName>
    <definedName name="ex">#REF!</definedName>
    <definedName name="f" localSheetId="5">#REF!</definedName>
    <definedName name="f" localSheetId="19">#REF!</definedName>
    <definedName name="f" localSheetId="3">#REF!</definedName>
    <definedName name="f">#REF!</definedName>
    <definedName name="FACTOR" localSheetId="5">#REF!</definedName>
    <definedName name="FACTOR" localSheetId="19">#REF!</definedName>
    <definedName name="FACTOR" localSheetId="3">#REF!</definedName>
    <definedName name="FACTOR">#REF!</definedName>
    <definedName name="FCode" localSheetId="5" hidden="1">#REF!</definedName>
    <definedName name="FCode" localSheetId="13" hidden="1">#REF!</definedName>
    <definedName name="FCode" localSheetId="19" hidden="1">#REF!</definedName>
    <definedName name="FCode" localSheetId="8" hidden="1">#REF!</definedName>
    <definedName name="FCode" localSheetId="6" hidden="1">#REF!</definedName>
    <definedName name="FCode" localSheetId="11" hidden="1">#REF!</definedName>
    <definedName name="FCode" localSheetId="0" hidden="1">#REF!</definedName>
    <definedName name="FCode" localSheetId="15" hidden="1">#REF!</definedName>
    <definedName name="FCode" localSheetId="2" hidden="1">#REF!</definedName>
    <definedName name="FCode" localSheetId="7" hidden="1">#REF!</definedName>
    <definedName name="FCode" localSheetId="3" hidden="1">#REF!</definedName>
    <definedName name="FCode" hidden="1">#REF!</definedName>
    <definedName name="fdfsf" localSheetId="5" hidden="1">{#N/A,#N/A,FALSE,"Chi tiÆt"}</definedName>
    <definedName name="fdfsf" localSheetId="13" hidden="1">{#N/A,#N/A,FALSE,"Chi tiÆt"}</definedName>
    <definedName name="fdfsf" hidden="1">{#N/A,#N/A,FALSE,"Chi tiÆt"}</definedName>
    <definedName name="fdsafsa" localSheetId="5" hidden="1">#REF!</definedName>
    <definedName name="fdsafsa" localSheetId="13" hidden="1">#REF!</definedName>
    <definedName name="fdsafsa" localSheetId="19" hidden="1">#REF!</definedName>
    <definedName name="fdsafsa" localSheetId="8" hidden="1">#REF!</definedName>
    <definedName name="fdsafsa" localSheetId="6" hidden="1">#REF!</definedName>
    <definedName name="fdsafsa" localSheetId="11" hidden="1">#REF!</definedName>
    <definedName name="fdsafsa" localSheetId="0" hidden="1">#REF!</definedName>
    <definedName name="fdsafsa" localSheetId="15" hidden="1">#REF!</definedName>
    <definedName name="fdsafsa" localSheetId="2" hidden="1">#REF!</definedName>
    <definedName name="fdsafsa" localSheetId="7" hidden="1">#REF!</definedName>
    <definedName name="fdsafsa" localSheetId="3" hidden="1">#REF!</definedName>
    <definedName name="fdsafsa" hidden="1">#REF!</definedName>
    <definedName name="fdsf" localSheetId="5" hidden="1">[1]Quantity!#REF!</definedName>
    <definedName name="fdsf" localSheetId="13" hidden="1">[1]Quantity!#REF!</definedName>
    <definedName name="fdsf" localSheetId="19" hidden="1">[1]Quantity!#REF!</definedName>
    <definedName name="fdsf" localSheetId="8" hidden="1">[1]Quantity!#REF!</definedName>
    <definedName name="fdsf" localSheetId="6" hidden="1">[1]Quantity!#REF!</definedName>
    <definedName name="fdsf" localSheetId="11" hidden="1">[1]Quantity!#REF!</definedName>
    <definedName name="fdsf" localSheetId="0" hidden="1">[1]Quantity!#REF!</definedName>
    <definedName name="fdsf" localSheetId="15" hidden="1">[1]Quantity!#REF!</definedName>
    <definedName name="fdsf" localSheetId="2" hidden="1">[1]Quantity!#REF!</definedName>
    <definedName name="fdsf" localSheetId="7" hidden="1">[1]Quantity!#REF!</definedName>
    <definedName name="fdsf" localSheetId="3" hidden="1">[1]Quantity!#REF!</definedName>
    <definedName name="fdsf" hidden="1">[1]Quantity!#REF!</definedName>
    <definedName name="ferwtery" localSheetId="5" hidden="1">#REF!</definedName>
    <definedName name="ferwtery" localSheetId="13" hidden="1">#REF!</definedName>
    <definedName name="ferwtery" localSheetId="19" hidden="1">#REF!</definedName>
    <definedName name="ferwtery" localSheetId="8" hidden="1">#REF!</definedName>
    <definedName name="ferwtery" localSheetId="6" hidden="1">#REF!</definedName>
    <definedName name="ferwtery" localSheetId="11" hidden="1">#REF!</definedName>
    <definedName name="ferwtery" localSheetId="0" hidden="1">#REF!</definedName>
    <definedName name="ferwtery" localSheetId="15" hidden="1">#REF!</definedName>
    <definedName name="ferwtery" localSheetId="2" hidden="1">#REF!</definedName>
    <definedName name="ferwtery" localSheetId="7" hidden="1">#REF!</definedName>
    <definedName name="ferwtery" localSheetId="3" hidden="1">#REF!</definedName>
    <definedName name="ferwtery" hidden="1">#REF!</definedName>
    <definedName name="FI_12">4820</definedName>
    <definedName name="fsdfdsf" localSheetId="5" hidden="1">{"'Sheet1'!$L$16"}</definedName>
    <definedName name="fsdfdsf" localSheetId="13" hidden="1">{"'Sheet1'!$L$16"}</definedName>
    <definedName name="fsdfdsf" hidden="1">{"'Sheet1'!$L$16"}</definedName>
    <definedName name="g" localSheetId="5" hidden="1">{"'Sheet1'!$L$16"}</definedName>
    <definedName name="g" localSheetId="13" hidden="1">{"'Sheet1'!$L$16"}</definedName>
    <definedName name="g" hidden="1">{"'Sheet1'!$L$16"}</definedName>
    <definedName name="G_ME" localSheetId="5">#REF!</definedName>
    <definedName name="G_ME" localSheetId="19">#REF!</definedName>
    <definedName name="G_ME" localSheetId="3">#REF!</definedName>
    <definedName name="G_ME">#REF!</definedName>
    <definedName name="gach" localSheetId="5">#REF!</definedName>
    <definedName name="gach" localSheetId="19">#REF!</definedName>
    <definedName name="gach" localSheetId="3">#REF!</definedName>
    <definedName name="gach">#REF!</definedName>
    <definedName name="geo" localSheetId="5">#REF!</definedName>
    <definedName name="geo" localSheetId="19">#REF!</definedName>
    <definedName name="geo" localSheetId="3">#REF!</definedName>
    <definedName name="geo">#REF!</definedName>
    <definedName name="gg" localSheetId="5">#REF!</definedName>
    <definedName name="gg" localSheetId="19">#REF!</definedName>
    <definedName name="gg" localSheetId="3">#REF!</definedName>
    <definedName name="gg">#REF!</definedName>
    <definedName name="ghip" localSheetId="5">#REF!</definedName>
    <definedName name="ghip" localSheetId="19">#REF!</definedName>
    <definedName name="ghip" localSheetId="3">#REF!</definedName>
    <definedName name="ghip">#REF!</definedName>
    <definedName name="gl3p" localSheetId="5">#REF!</definedName>
    <definedName name="gl3p" localSheetId="19">#REF!</definedName>
    <definedName name="gl3p" localSheetId="3">#REF!</definedName>
    <definedName name="gl3p">#REF!</definedName>
    <definedName name="Goc32x3" localSheetId="5">#REF!</definedName>
    <definedName name="Goc32x3" localSheetId="19">#REF!</definedName>
    <definedName name="Goc32x3" localSheetId="3">#REF!</definedName>
    <definedName name="Goc32x3">#REF!</definedName>
    <definedName name="Goc35x3" localSheetId="5">#REF!</definedName>
    <definedName name="Goc35x3" localSheetId="19">#REF!</definedName>
    <definedName name="Goc35x3" localSheetId="3">#REF!</definedName>
    <definedName name="Goc35x3">#REF!</definedName>
    <definedName name="Goc40x4" localSheetId="5">#REF!</definedName>
    <definedName name="Goc40x4" localSheetId="19">#REF!</definedName>
    <definedName name="Goc40x4" localSheetId="3">#REF!</definedName>
    <definedName name="Goc40x4">#REF!</definedName>
    <definedName name="Goc45x4" localSheetId="5">#REF!</definedName>
    <definedName name="Goc45x4" localSheetId="19">#REF!</definedName>
    <definedName name="Goc45x4" localSheetId="3">#REF!</definedName>
    <definedName name="Goc45x4">#REF!</definedName>
    <definedName name="Goc50x5" localSheetId="5">#REF!</definedName>
    <definedName name="Goc50x5" localSheetId="19">#REF!</definedName>
    <definedName name="Goc50x5" localSheetId="3">#REF!</definedName>
    <definedName name="Goc50x5">#REF!</definedName>
    <definedName name="Goc63x6" localSheetId="5">#REF!</definedName>
    <definedName name="Goc63x6" localSheetId="19">#REF!</definedName>
    <definedName name="Goc63x6" localSheetId="3">#REF!</definedName>
    <definedName name="Goc63x6">#REF!</definedName>
    <definedName name="Goc75x6" localSheetId="5">#REF!</definedName>
    <definedName name="Goc75x6" localSheetId="19">#REF!</definedName>
    <definedName name="Goc75x6" localSheetId="3">#REF!</definedName>
    <definedName name="Goc75x6">#REF!</definedName>
    <definedName name="Gtb" localSheetId="5">#REF!</definedName>
    <definedName name="Gtb" localSheetId="19">#REF!</definedName>
    <definedName name="Gtb" localSheetId="3">#REF!</definedName>
    <definedName name="Gtb">#REF!</definedName>
    <definedName name="gtbtt" localSheetId="5">#REF!</definedName>
    <definedName name="gtbtt" localSheetId="19">#REF!</definedName>
    <definedName name="gtbtt" localSheetId="3">#REF!</definedName>
    <definedName name="gtbtt">#REF!</definedName>
    <definedName name="gtst" localSheetId="5">#REF!</definedName>
    <definedName name="gtst" localSheetId="19">#REF!</definedName>
    <definedName name="gtst" localSheetId="3">#REF!</definedName>
    <definedName name="gtst">#REF!</definedName>
    <definedName name="GTXL" localSheetId="5">#REF!</definedName>
    <definedName name="GTXL" localSheetId="19">#REF!</definedName>
    <definedName name="GTXL" localSheetId="3">#REF!</definedName>
    <definedName name="GTXL">#REF!</definedName>
    <definedName name="Gxl" localSheetId="5">#REF!</definedName>
    <definedName name="Gxl" localSheetId="19">#REF!</definedName>
    <definedName name="Gxl" localSheetId="3">#REF!</definedName>
    <definedName name="Gxl">#REF!</definedName>
    <definedName name="gxltt" localSheetId="5">#REF!</definedName>
    <definedName name="gxltt" localSheetId="19">#REF!</definedName>
    <definedName name="gxltt" localSheetId="3">#REF!</definedName>
    <definedName name="gxltt">#REF!</definedName>
    <definedName name="gia" localSheetId="5">#REF!</definedName>
    <definedName name="gia" localSheetId="19">#REF!</definedName>
    <definedName name="gia" localSheetId="3">#REF!</definedName>
    <definedName name="gia">#REF!</definedName>
    <definedName name="Gia_CT" localSheetId="5">#REF!</definedName>
    <definedName name="Gia_CT" localSheetId="19">#REF!</definedName>
    <definedName name="Gia_CT" localSheetId="3">#REF!</definedName>
    <definedName name="Gia_CT">#REF!</definedName>
    <definedName name="GIA_CU_LY_VAN_CHUYEN" localSheetId="5">#REF!</definedName>
    <definedName name="GIA_CU_LY_VAN_CHUYEN" localSheetId="19">#REF!</definedName>
    <definedName name="GIA_CU_LY_VAN_CHUYEN" localSheetId="3">#REF!</definedName>
    <definedName name="GIA_CU_LY_VAN_CHUYEN">#REF!</definedName>
    <definedName name="gia_tien" localSheetId="5">#REF!</definedName>
    <definedName name="gia_tien" localSheetId="19">#REF!</definedName>
    <definedName name="gia_tien" localSheetId="3">#REF!</definedName>
    <definedName name="gia_tien">#REF!</definedName>
    <definedName name="gia_tien_BTN" localSheetId="5">#REF!</definedName>
    <definedName name="gia_tien_BTN" localSheetId="19">#REF!</definedName>
    <definedName name="gia_tien_BTN" localSheetId="3">#REF!</definedName>
    <definedName name="gia_tien_BTN">#REF!</definedName>
    <definedName name="Gia_VT" localSheetId="5">#REF!</definedName>
    <definedName name="Gia_VT" localSheetId="19">#REF!</definedName>
    <definedName name="Gia_VT" localSheetId="3">#REF!</definedName>
    <definedName name="Gia_VT">#REF!</definedName>
    <definedName name="GIAVLIEUTN" localSheetId="5">#REF!</definedName>
    <definedName name="GIAVLIEUTN" localSheetId="19">#REF!</definedName>
    <definedName name="GIAVLIEUTN" localSheetId="3">#REF!</definedName>
    <definedName name="GIAVLIEUTN">#REF!</definedName>
    <definedName name="Giocong" localSheetId="5">#REF!</definedName>
    <definedName name="Giocong" localSheetId="19">#REF!</definedName>
    <definedName name="Giocong" localSheetId="3">#REF!</definedName>
    <definedName name="Giocong">#REF!</definedName>
    <definedName name="h" localSheetId="5" hidden="1">{"'Sheet1'!$L$16"}</definedName>
    <definedName name="h" localSheetId="13" hidden="1">{"'Sheet1'!$L$16"}</definedName>
    <definedName name="h" hidden="1">{"'Sheet1'!$L$16"}</definedName>
    <definedName name="H_THUCTT" localSheetId="5">#REF!</definedName>
    <definedName name="H_THUCTT" localSheetId="19">#REF!</definedName>
    <definedName name="H_THUCTT" localSheetId="3">#REF!</definedName>
    <definedName name="H_THUCTT">#REF!</definedName>
    <definedName name="H_THUCHTHH" localSheetId="5">#REF!</definedName>
    <definedName name="H_THUCHTHH" localSheetId="19">#REF!</definedName>
    <definedName name="H_THUCHTHH" localSheetId="3">#REF!</definedName>
    <definedName name="H_THUCHTHH">#REF!</definedName>
    <definedName name="HCM" localSheetId="5">#REF!</definedName>
    <definedName name="HCM" localSheetId="19">#REF!</definedName>
    <definedName name="HCM" localSheetId="3">#REF!</definedName>
    <definedName name="HCM">#REF!</definedName>
    <definedName name="HE_SO_KHO_KHAN_CANG_DAY" localSheetId="5">#REF!</definedName>
    <definedName name="HE_SO_KHO_KHAN_CANG_DAY" localSheetId="19">#REF!</definedName>
    <definedName name="HE_SO_KHO_KHAN_CANG_DAY" localSheetId="3">#REF!</definedName>
    <definedName name="HE_SO_KHO_KHAN_CANG_DAY">#REF!</definedName>
    <definedName name="Heä_soá_laép_xaø_H">1.7</definedName>
    <definedName name="heä_soá_sình_laày" localSheetId="5">#REF!</definedName>
    <definedName name="heä_soá_sình_laày" localSheetId="19">#REF!</definedName>
    <definedName name="heä_soá_sình_laày" localSheetId="3">#REF!</definedName>
    <definedName name="heä_soá_sình_laày">#REF!</definedName>
    <definedName name="hh" localSheetId="5">#REF!</definedName>
    <definedName name="hh" localSheetId="19">#REF!</definedName>
    <definedName name="hh" localSheetId="3">#REF!</definedName>
    <definedName name="hh">#REF!</definedName>
    <definedName name="HHcat" localSheetId="5">#REF!</definedName>
    <definedName name="HHcat" localSheetId="19">#REF!</definedName>
    <definedName name="HHcat" localSheetId="3">#REF!</definedName>
    <definedName name="HHcat">#REF!</definedName>
    <definedName name="HHda" localSheetId="5">#REF!</definedName>
    <definedName name="HHda" localSheetId="19">#REF!</definedName>
    <definedName name="HHda" localSheetId="3">#REF!</definedName>
    <definedName name="HHda">#REF!</definedName>
    <definedName name="HHTT" localSheetId="5">#REF!</definedName>
    <definedName name="HHTT" localSheetId="19">#REF!</definedName>
    <definedName name="HHTT" localSheetId="3">#REF!</definedName>
    <definedName name="HHTT">#REF!</definedName>
    <definedName name="HiddenRows" localSheetId="5" hidden="1">#REF!</definedName>
    <definedName name="HiddenRows" localSheetId="13" hidden="1">#REF!</definedName>
    <definedName name="HiddenRows" localSheetId="19" hidden="1">#REF!</definedName>
    <definedName name="HiddenRows" localSheetId="8" hidden="1">#REF!</definedName>
    <definedName name="HiddenRows" localSheetId="6" hidden="1">#REF!</definedName>
    <definedName name="HiddenRows" localSheetId="11" hidden="1">#REF!</definedName>
    <definedName name="HiddenRows" localSheetId="0" hidden="1">#REF!</definedName>
    <definedName name="HiddenRows" localSheetId="15" hidden="1">#REF!</definedName>
    <definedName name="HiddenRows" localSheetId="2" hidden="1">#REF!</definedName>
    <definedName name="HiddenRows" localSheetId="7" hidden="1">#REF!</definedName>
    <definedName name="HiddenRows" localSheetId="3" hidden="1">#REF!</definedName>
    <definedName name="HiddenRows" hidden="1">#REF!</definedName>
    <definedName name="hien" localSheetId="5">#REF!</definedName>
    <definedName name="hien" localSheetId="19">#REF!</definedName>
    <definedName name="hien" localSheetId="3">#REF!</definedName>
    <definedName name="hien">#REF!</definedName>
    <definedName name="Hinh_thuc" localSheetId="5">#REF!</definedName>
    <definedName name="Hinh_thuc" localSheetId="19">#REF!</definedName>
    <definedName name="Hinh_thuc" localSheetId="3">#REF!</definedName>
    <definedName name="Hinh_thuc">#REF!</definedName>
    <definedName name="HiÕu" localSheetId="5">#REF!</definedName>
    <definedName name="HiÕu" localSheetId="19">#REF!</definedName>
    <definedName name="HiÕu" localSheetId="3">#REF!</definedName>
    <definedName name="HiÕu">#REF!</definedName>
    <definedName name="HOME_MANP" localSheetId="5">#REF!</definedName>
    <definedName name="HOME_MANP" localSheetId="19">#REF!</definedName>
    <definedName name="HOME_MANP" localSheetId="3">#REF!</definedName>
    <definedName name="HOME_MANP">#REF!</definedName>
    <definedName name="HOMEOFFICE_COST" localSheetId="5">#REF!</definedName>
    <definedName name="HOMEOFFICE_COST" localSheetId="19">#REF!</definedName>
    <definedName name="HOMEOFFICE_COST" localSheetId="3">#REF!</definedName>
    <definedName name="HOMEOFFICE_COST">#REF!</definedName>
    <definedName name="hs" localSheetId="5">#REF!</definedName>
    <definedName name="hs" localSheetId="19">#REF!</definedName>
    <definedName name="hs" localSheetId="3">#REF!</definedName>
    <definedName name="hs">#REF!</definedName>
    <definedName name="HSCT3">0.1</definedName>
    <definedName name="hsd" localSheetId="5">#REF!</definedName>
    <definedName name="hsd" localSheetId="19">#REF!</definedName>
    <definedName name="hsd" localSheetId="3">#REF!</definedName>
    <definedName name="hsd">#REF!</definedName>
    <definedName name="hsdc" localSheetId="5">#REF!</definedName>
    <definedName name="hsdc" localSheetId="19">#REF!</definedName>
    <definedName name="hsdc" localSheetId="3">#REF!</definedName>
    <definedName name="hsdc">#REF!</definedName>
    <definedName name="hsdc1" localSheetId="5">#REF!</definedName>
    <definedName name="hsdc1" localSheetId="19">#REF!</definedName>
    <definedName name="hsdc1" localSheetId="3">#REF!</definedName>
    <definedName name="hsdc1">#REF!</definedName>
    <definedName name="HSDN">2.5</definedName>
    <definedName name="HSHH" localSheetId="5">#REF!</definedName>
    <definedName name="HSHH" localSheetId="19">#REF!</definedName>
    <definedName name="HSHH" localSheetId="3">#REF!</definedName>
    <definedName name="HSHH">#REF!</definedName>
    <definedName name="HSHHUT" localSheetId="5">#REF!</definedName>
    <definedName name="HSHHUT" localSheetId="19">#REF!</definedName>
    <definedName name="HSHHUT" localSheetId="3">#REF!</definedName>
    <definedName name="HSHHUT">#REF!</definedName>
    <definedName name="hsk" localSheetId="5">#REF!</definedName>
    <definedName name="hsk" localSheetId="19">#REF!</definedName>
    <definedName name="hsk" localSheetId="3">#REF!</definedName>
    <definedName name="hsk">#REF!</definedName>
    <definedName name="HSKK35" localSheetId="5">#REF!</definedName>
    <definedName name="HSKK35" localSheetId="19">#REF!</definedName>
    <definedName name="HSKK35" localSheetId="3">#REF!</definedName>
    <definedName name="HSKK35">#REF!</definedName>
    <definedName name="HSLX" localSheetId="5">#REF!</definedName>
    <definedName name="HSLX" localSheetId="19">#REF!</definedName>
    <definedName name="HSLX" localSheetId="3">#REF!</definedName>
    <definedName name="HSLX">#REF!</definedName>
    <definedName name="HSLXH">1.7</definedName>
    <definedName name="HSLXP" localSheetId="5">#REF!</definedName>
    <definedName name="HSLXP" localSheetId="19">#REF!</definedName>
    <definedName name="HSLXP" localSheetId="3">#REF!</definedName>
    <definedName name="HSLXP">#REF!</definedName>
    <definedName name="hßm4" localSheetId="5">#REF!</definedName>
    <definedName name="hßm4" localSheetId="19">#REF!</definedName>
    <definedName name="hßm4" localSheetId="3">#REF!</definedName>
    <definedName name="hßm4">#REF!</definedName>
    <definedName name="hstb" localSheetId="5">#REF!</definedName>
    <definedName name="hstb" localSheetId="19">#REF!</definedName>
    <definedName name="hstb" localSheetId="3">#REF!</definedName>
    <definedName name="hstb">#REF!</definedName>
    <definedName name="hstdtk" localSheetId="5">#REF!</definedName>
    <definedName name="hstdtk" localSheetId="19">#REF!</definedName>
    <definedName name="hstdtk" localSheetId="3">#REF!</definedName>
    <definedName name="hstdtk">#REF!</definedName>
    <definedName name="hsthep" localSheetId="5">#REF!</definedName>
    <definedName name="hsthep" localSheetId="19">#REF!</definedName>
    <definedName name="hsthep" localSheetId="3">#REF!</definedName>
    <definedName name="hsthep">#REF!</definedName>
    <definedName name="HSVC1" localSheetId="5">#REF!</definedName>
    <definedName name="HSVC1" localSheetId="19">#REF!</definedName>
    <definedName name="HSVC1" localSheetId="3">#REF!</definedName>
    <definedName name="HSVC1">#REF!</definedName>
    <definedName name="HSVC2" localSheetId="5">#REF!</definedName>
    <definedName name="HSVC2" localSheetId="19">#REF!</definedName>
    <definedName name="HSVC2" localSheetId="3">#REF!</definedName>
    <definedName name="HSVC2">#REF!</definedName>
    <definedName name="HSVC3" localSheetId="5">#REF!</definedName>
    <definedName name="HSVC3" localSheetId="19">#REF!</definedName>
    <definedName name="HSVC3" localSheetId="3">#REF!</definedName>
    <definedName name="HSVC3">#REF!</definedName>
    <definedName name="hsvl" localSheetId="5">#REF!</definedName>
    <definedName name="hsvl" localSheetId="19">#REF!</definedName>
    <definedName name="hsvl" localSheetId="3">#REF!</definedName>
    <definedName name="hsvl">#REF!</definedName>
    <definedName name="HT" localSheetId="5">#REF!</definedName>
    <definedName name="HT" localSheetId="19">#REF!</definedName>
    <definedName name="HT" localSheetId="3">#REF!</definedName>
    <definedName name="HT">#REF!</definedName>
    <definedName name="htlm" localSheetId="5" hidden="1">{"'Sheet1'!$L$16"}</definedName>
    <definedName name="htlm" localSheetId="13" hidden="1">{"'Sheet1'!$L$16"}</definedName>
    <definedName name="htlm" hidden="1">{"'Sheet1'!$L$16"}</definedName>
    <definedName name="HTML_CodePage" hidden="1">950</definedName>
    <definedName name="HTML_Control" localSheetId="5" hidden="1">{"'Sheet1'!$L$16"}</definedName>
    <definedName name="HTML_Control" localSheetId="13"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 localSheetId="5">#REF!</definedName>
    <definedName name="HTNC" localSheetId="19">#REF!</definedName>
    <definedName name="HTNC" localSheetId="3">#REF!</definedName>
    <definedName name="HTNC">#REF!</definedName>
    <definedName name="HTVL" localSheetId="5">#REF!</definedName>
    <definedName name="HTVL" localSheetId="19">#REF!</definedName>
    <definedName name="HTVL" localSheetId="3">#REF!</definedName>
    <definedName name="HTVL">#REF!</definedName>
    <definedName name="HTHH" localSheetId="5">#REF!</definedName>
    <definedName name="HTHH" localSheetId="19">#REF!</definedName>
    <definedName name="HTHH" localSheetId="3">#REF!</definedName>
    <definedName name="HTHH">#REF!</definedName>
    <definedName name="htrhrt" localSheetId="5" hidden="1">{"'Sheet1'!$L$16"}</definedName>
    <definedName name="htrhrt" localSheetId="13" hidden="1">{"'Sheet1'!$L$16"}</definedName>
    <definedName name="htrhrt" hidden="1">{"'Sheet1'!$L$16"}</definedName>
    <definedName name="hu" localSheetId="5" hidden="1">{"'Sheet1'!$L$16"}</definedName>
    <definedName name="hu" localSheetId="13" hidden="1">{"'Sheet1'!$L$16"}</definedName>
    <definedName name="hu" hidden="1">{"'Sheet1'!$L$16"}</definedName>
    <definedName name="huy" localSheetId="5" hidden="1">{"'Sheet1'!$L$16"}</definedName>
    <definedName name="huy" localSheetId="13" hidden="1">{"'Sheet1'!$L$16"}</definedName>
    <definedName name="huy" hidden="1">{"'Sheet1'!$L$16"}</definedName>
    <definedName name="I" localSheetId="5">#REF!</definedName>
    <definedName name="I" localSheetId="19">#REF!</definedName>
    <definedName name="I" localSheetId="3">#REF!</definedName>
    <definedName name="I">#REF!</definedName>
    <definedName name="IDLAB_COST" localSheetId="5">#REF!</definedName>
    <definedName name="IDLAB_COST" localSheetId="19">#REF!</definedName>
    <definedName name="IDLAB_COST" localSheetId="3">#REF!</definedName>
    <definedName name="IDLAB_COST">#REF!</definedName>
    <definedName name="IND_LAB" localSheetId="5">#REF!</definedName>
    <definedName name="IND_LAB" localSheetId="19">#REF!</definedName>
    <definedName name="IND_LAB" localSheetId="3">#REF!</definedName>
    <definedName name="IND_LAB">#REF!</definedName>
    <definedName name="INDMANP" localSheetId="5">#REF!</definedName>
    <definedName name="INDMANP" localSheetId="19">#REF!</definedName>
    <definedName name="INDMANP" localSheetId="3">#REF!</definedName>
    <definedName name="INDMANP">#REF!</definedName>
    <definedName name="j" localSheetId="5">#REF!</definedName>
    <definedName name="j" localSheetId="19">#REF!</definedName>
    <definedName name="j" localSheetId="3">#REF!</definedName>
    <definedName name="j">#REF!</definedName>
    <definedName name="j356C8" localSheetId="5">#REF!</definedName>
    <definedName name="j356C8" localSheetId="19">#REF!</definedName>
    <definedName name="j356C8" localSheetId="3">#REF!</definedName>
    <definedName name="j356C8">#REF!</definedName>
    <definedName name="k" localSheetId="5">#REF!</definedName>
    <definedName name="k" localSheetId="19">#REF!</definedName>
    <definedName name="k" localSheetId="3">#REF!</definedName>
    <definedName name="k">#REF!</definedName>
    <definedName name="k2b" localSheetId="5">#REF!</definedName>
    <definedName name="k2b" localSheetId="19">#REF!</definedName>
    <definedName name="k2b" localSheetId="3">#REF!</definedName>
    <definedName name="k2b">#REF!</definedName>
    <definedName name="kcong" localSheetId="5">#REF!</definedName>
    <definedName name="kcong" localSheetId="19">#REF!</definedName>
    <definedName name="kcong" localSheetId="3">#REF!</definedName>
    <definedName name="kcong">#REF!</definedName>
    <definedName name="KINH_PHI_DEN_BU" localSheetId="5">#REF!</definedName>
    <definedName name="KINH_PHI_DEN_BU" localSheetId="19">#REF!</definedName>
    <definedName name="KINH_PHI_DEN_BU" localSheetId="3">#REF!</definedName>
    <definedName name="KINH_PHI_DEN_BU">#REF!</definedName>
    <definedName name="KINH_PHI_DZ0.4KV" localSheetId="5">#REF!</definedName>
    <definedName name="KINH_PHI_DZ0.4KV" localSheetId="19">#REF!</definedName>
    <definedName name="KINH_PHI_DZ0.4KV" localSheetId="3">#REF!</definedName>
    <definedName name="KINH_PHI_DZ0.4KV">#REF!</definedName>
    <definedName name="KINH_PHI_KHAO_SAT__LAP_BCNCKT__TKKTTC" localSheetId="5">#REF!</definedName>
    <definedName name="KINH_PHI_KHAO_SAT__LAP_BCNCKT__TKKTTC" localSheetId="19">#REF!</definedName>
    <definedName name="KINH_PHI_KHAO_SAT__LAP_BCNCKT__TKKTTC" localSheetId="3">#REF!</definedName>
    <definedName name="KINH_PHI_KHAO_SAT__LAP_BCNCKT__TKKTTC">#REF!</definedName>
    <definedName name="KINH_PHI_KHO_BAI" localSheetId="5">#REF!</definedName>
    <definedName name="KINH_PHI_KHO_BAI" localSheetId="19">#REF!</definedName>
    <definedName name="KINH_PHI_KHO_BAI" localSheetId="3">#REF!</definedName>
    <definedName name="KINH_PHI_KHO_BAI">#REF!</definedName>
    <definedName name="KINH_PHI_TBA" localSheetId="5">#REF!</definedName>
    <definedName name="KINH_PHI_TBA" localSheetId="19">#REF!</definedName>
    <definedName name="KINH_PHI_TBA" localSheetId="3">#REF!</definedName>
    <definedName name="KINH_PHI_TBA">#REF!</definedName>
    <definedName name="kl_ME" localSheetId="5">#REF!</definedName>
    <definedName name="kl_ME" localSheetId="19">#REF!</definedName>
    <definedName name="kl_ME" localSheetId="3">#REF!</definedName>
    <definedName name="kl_ME">#REF!</definedName>
    <definedName name="KLduonggiaods" localSheetId="5" hidden="1">{"'Sheet1'!$L$16"}</definedName>
    <definedName name="KLduonggiaods" localSheetId="13" hidden="1">{"'Sheet1'!$L$16"}</definedName>
    <definedName name="KLduonggiaods" hidden="1">{"'Sheet1'!$L$16"}</definedName>
    <definedName name="KLTHDN" localSheetId="5">#REF!</definedName>
    <definedName name="KLTHDN" localSheetId="19">#REF!</definedName>
    <definedName name="KLTHDN" localSheetId="3">#REF!</definedName>
    <definedName name="KLTHDN">#REF!</definedName>
    <definedName name="KLVANKHUON" localSheetId="5">#REF!</definedName>
    <definedName name="KLVANKHUON" localSheetId="19">#REF!</definedName>
    <definedName name="KLVANKHUON" localSheetId="3">#REF!</definedName>
    <definedName name="KLVANKHUON">#REF!</definedName>
    <definedName name="kp1ph" localSheetId="5">#REF!</definedName>
    <definedName name="kp1ph" localSheetId="19">#REF!</definedName>
    <definedName name="kp1ph" localSheetId="3">#REF!</definedName>
    <definedName name="kp1ph">#REF!</definedName>
    <definedName name="ksbn" localSheetId="5" hidden="1">{"'Sheet1'!$L$16"}</definedName>
    <definedName name="ksbn" localSheetId="13" hidden="1">{"'Sheet1'!$L$16"}</definedName>
    <definedName name="ksbn" hidden="1">{"'Sheet1'!$L$16"}</definedName>
    <definedName name="kshn" localSheetId="5" hidden="1">{"'Sheet1'!$L$16"}</definedName>
    <definedName name="kshn" localSheetId="13" hidden="1">{"'Sheet1'!$L$16"}</definedName>
    <definedName name="kshn" hidden="1">{"'Sheet1'!$L$16"}</definedName>
    <definedName name="ksls" localSheetId="5" hidden="1">{"'Sheet1'!$L$16"}</definedName>
    <definedName name="ksls" localSheetId="13" hidden="1">{"'Sheet1'!$L$16"}</definedName>
    <definedName name="ksls" hidden="1">{"'Sheet1'!$L$16"}</definedName>
    <definedName name="KSTK" localSheetId="5">#REF!</definedName>
    <definedName name="KSTK" localSheetId="19">#REF!</definedName>
    <definedName name="KSTK" localSheetId="3">#REF!</definedName>
    <definedName name="KSTK">#REF!</definedName>
    <definedName name="KH_Chang" localSheetId="5">#REF!</definedName>
    <definedName name="KH_Chang" localSheetId="19">#REF!</definedName>
    <definedName name="KH_Chang" localSheetId="3">#REF!</definedName>
    <definedName name="KH_Chang">#REF!</definedName>
    <definedName name="khla09" localSheetId="5" hidden="1">{"'Sheet1'!$L$16"}</definedName>
    <definedName name="khla09" localSheetId="13" hidden="1">{"'Sheet1'!$L$16"}</definedName>
    <definedName name="khla09" hidden="1">{"'Sheet1'!$L$16"}</definedName>
    <definedName name="KHOI_LUONG_DAT_DAO_DAP" localSheetId="5">#REF!</definedName>
    <definedName name="KHOI_LUONG_DAT_DAO_DAP" localSheetId="19">#REF!</definedName>
    <definedName name="KHOI_LUONG_DAT_DAO_DAP" localSheetId="3">#REF!</definedName>
    <definedName name="KHOI_LUONG_DAT_DAO_DAP">#REF!</definedName>
    <definedName name="khongtruotgia" localSheetId="5" hidden="1">{"'Sheet1'!$L$16"}</definedName>
    <definedName name="khongtruotgia" localSheetId="13" hidden="1">{"'Sheet1'!$L$16"}</definedName>
    <definedName name="khongtruotgia" hidden="1">{"'Sheet1'!$L$16"}</definedName>
    <definedName name="khvh09" localSheetId="5" hidden="1">{"'Sheet1'!$L$16"}</definedName>
    <definedName name="khvh09" localSheetId="13" hidden="1">{"'Sheet1'!$L$16"}</definedName>
    <definedName name="khvh09" hidden="1">{"'Sheet1'!$L$16"}</definedName>
    <definedName name="khvx09" localSheetId="5" hidden="1">{#N/A,#N/A,FALSE,"Chi tiÆt"}</definedName>
    <definedName name="khvx09" localSheetId="13" hidden="1">{#N/A,#N/A,FALSE,"Chi tiÆt"}</definedName>
    <definedName name="khvx09" hidden="1">{#N/A,#N/A,FALSE,"Chi tiÆt"}</definedName>
    <definedName name="KHYt09" localSheetId="5" hidden="1">{"'Sheet1'!$L$16"}</definedName>
    <definedName name="KHYt09" localSheetId="13" hidden="1">{"'Sheet1'!$L$16"}</definedName>
    <definedName name="KHYt09" hidden="1">{"'Sheet1'!$L$16"}</definedName>
    <definedName name="l" localSheetId="5">#REF!</definedName>
    <definedName name="l" localSheetId="19">#REF!</definedName>
    <definedName name="l" localSheetId="3">#REF!</definedName>
    <definedName name="l">#REF!</definedName>
    <definedName name="L_mong" localSheetId="5">#REF!</definedName>
    <definedName name="L_mong" localSheetId="19">#REF!</definedName>
    <definedName name="L_mong" localSheetId="3">#REF!</definedName>
    <definedName name="L_mong">#REF!</definedName>
    <definedName name="L63x6">5800</definedName>
    <definedName name="lan" localSheetId="5">#REF!</definedName>
    <definedName name="lan" localSheetId="19">#REF!</definedName>
    <definedName name="lan" localSheetId="3">#REF!</definedName>
    <definedName name="lan">#REF!</definedName>
    <definedName name="langson" localSheetId="5" hidden="1">{"'Sheet1'!$L$16"}</definedName>
    <definedName name="langson" localSheetId="13" hidden="1">{"'Sheet1'!$L$16"}</definedName>
    <definedName name="langson" hidden="1">{"'Sheet1'!$L$16"}</definedName>
    <definedName name="lanhto" localSheetId="5">#REF!</definedName>
    <definedName name="lanhto" localSheetId="19">#REF!</definedName>
    <definedName name="lanhto" localSheetId="3">#REF!</definedName>
    <definedName name="lanhto">#REF!</definedName>
    <definedName name="LAP_DAT_TBA" localSheetId="5">#REF!</definedName>
    <definedName name="LAP_DAT_TBA" localSheetId="19">#REF!</definedName>
    <definedName name="LAP_DAT_TBA" localSheetId="3">#REF!</definedName>
    <definedName name="LAP_DAT_TBA">#REF!</definedName>
    <definedName name="LBS_22">107800000</definedName>
    <definedName name="LIET_KE_VI_TRI_DZ0.4KV" localSheetId="5">#REF!</definedName>
    <definedName name="LIET_KE_VI_TRI_DZ0.4KV" localSheetId="19">#REF!</definedName>
    <definedName name="LIET_KE_VI_TRI_DZ0.4KV" localSheetId="3">#REF!</definedName>
    <definedName name="LIET_KE_VI_TRI_DZ0.4KV">#REF!</definedName>
    <definedName name="LIET_KE_VI_TRI_DZ22KV" localSheetId="5">#REF!</definedName>
    <definedName name="LIET_KE_VI_TRI_DZ22KV" localSheetId="19">#REF!</definedName>
    <definedName name="LIET_KE_VI_TRI_DZ22KV" localSheetId="3">#REF!</definedName>
    <definedName name="LIET_KE_VI_TRI_DZ22KV">#REF!</definedName>
    <definedName name="LK_hathe" localSheetId="5">#REF!</definedName>
    <definedName name="LK_hathe" localSheetId="19">#REF!</definedName>
    <definedName name="LK_hathe" localSheetId="3">#REF!</definedName>
    <definedName name="LK_hathe">#REF!</definedName>
    <definedName name="Lmk" localSheetId="5">#REF!</definedName>
    <definedName name="Lmk" localSheetId="19">#REF!</definedName>
    <definedName name="Lmk" localSheetId="3">#REF!</definedName>
    <definedName name="Lmk">#REF!</definedName>
    <definedName name="lntt" localSheetId="5">#REF!</definedName>
    <definedName name="lntt" localSheetId="19">#REF!</definedName>
    <definedName name="lntt" localSheetId="3">#REF!</definedName>
    <definedName name="lntt">#REF!</definedName>
    <definedName name="Loai_TD" localSheetId="5">#REF!</definedName>
    <definedName name="Loai_TD" localSheetId="19">#REF!</definedName>
    <definedName name="Loai_TD" localSheetId="3">#REF!</definedName>
    <definedName name="Loai_TD">#REF!</definedName>
    <definedName name="M0.4" localSheetId="5">#REF!</definedName>
    <definedName name="M0.4" localSheetId="19">#REF!</definedName>
    <definedName name="M0.4" localSheetId="3">#REF!</definedName>
    <definedName name="M0.4">#REF!</definedName>
    <definedName name="M12aavl" localSheetId="5">#REF!</definedName>
    <definedName name="M12aavl" localSheetId="19">#REF!</definedName>
    <definedName name="M12aavl" localSheetId="3">#REF!</definedName>
    <definedName name="M12aavl">#REF!</definedName>
    <definedName name="M12ba3p" localSheetId="5">#REF!</definedName>
    <definedName name="M12ba3p" localSheetId="19">#REF!</definedName>
    <definedName name="M12ba3p" localSheetId="3">#REF!</definedName>
    <definedName name="M12ba3p">#REF!</definedName>
    <definedName name="M12bb1p" localSheetId="5">#REF!</definedName>
    <definedName name="M12bb1p" localSheetId="19">#REF!</definedName>
    <definedName name="M12bb1p" localSheetId="3">#REF!</definedName>
    <definedName name="M12bb1p">#REF!</definedName>
    <definedName name="M14bb1p" localSheetId="5">#REF!</definedName>
    <definedName name="M14bb1p" localSheetId="19">#REF!</definedName>
    <definedName name="M14bb1p" localSheetId="3">#REF!</definedName>
    <definedName name="M14bb1p">#REF!</definedName>
    <definedName name="M8a" localSheetId="5">#REF!</definedName>
    <definedName name="M8a" localSheetId="19">#REF!</definedName>
    <definedName name="M8a" localSheetId="3">#REF!</definedName>
    <definedName name="M8a">#REF!</definedName>
    <definedName name="M8aa" localSheetId="5">#REF!</definedName>
    <definedName name="M8aa" localSheetId="19">#REF!</definedName>
    <definedName name="M8aa" localSheetId="3">#REF!</definedName>
    <definedName name="M8aa">#REF!</definedName>
    <definedName name="m8aanc" localSheetId="5">#REF!</definedName>
    <definedName name="m8aanc" localSheetId="19">#REF!</definedName>
    <definedName name="m8aanc" localSheetId="3">#REF!</definedName>
    <definedName name="m8aanc">#REF!</definedName>
    <definedName name="m8aavl" localSheetId="5">#REF!</definedName>
    <definedName name="m8aavl" localSheetId="19">#REF!</definedName>
    <definedName name="m8aavl" localSheetId="3">#REF!</definedName>
    <definedName name="m8aavl">#REF!</definedName>
    <definedName name="Ma3pnc" localSheetId="5">#REF!</definedName>
    <definedName name="Ma3pnc" localSheetId="19">#REF!</definedName>
    <definedName name="Ma3pnc" localSheetId="3">#REF!</definedName>
    <definedName name="Ma3pnc">#REF!</definedName>
    <definedName name="Ma3pvl" localSheetId="5">#REF!</definedName>
    <definedName name="Ma3pvl" localSheetId="19">#REF!</definedName>
    <definedName name="Ma3pvl" localSheetId="3">#REF!</definedName>
    <definedName name="Ma3pvl">#REF!</definedName>
    <definedName name="Maa3pnc" localSheetId="5">#REF!</definedName>
    <definedName name="Maa3pnc" localSheetId="19">#REF!</definedName>
    <definedName name="Maa3pnc" localSheetId="3">#REF!</definedName>
    <definedName name="Maa3pnc">#REF!</definedName>
    <definedName name="Maa3pvl" localSheetId="5">#REF!</definedName>
    <definedName name="Maa3pvl" localSheetId="19">#REF!</definedName>
    <definedName name="Maa3pvl" localSheetId="3">#REF!</definedName>
    <definedName name="Maa3pvl">#REF!</definedName>
    <definedName name="MAJ_CON_EQP" localSheetId="5">#REF!</definedName>
    <definedName name="MAJ_CON_EQP" localSheetId="19">#REF!</definedName>
    <definedName name="MAJ_CON_EQP" localSheetId="3">#REF!</definedName>
    <definedName name="MAJ_CON_EQP">#REF!</definedName>
    <definedName name="MAVANKHUON" localSheetId="5">#REF!</definedName>
    <definedName name="MAVANKHUON" localSheetId="19">#REF!</definedName>
    <definedName name="MAVANKHUON" localSheetId="3">#REF!</definedName>
    <definedName name="MAVANKHUON">#REF!</definedName>
    <definedName name="MAVLTHDN" localSheetId="5">#REF!</definedName>
    <definedName name="MAVLTHDN" localSheetId="19">#REF!</definedName>
    <definedName name="MAVLTHDN" localSheetId="3">#REF!</definedName>
    <definedName name="MAVLTHDN">#REF!</definedName>
    <definedName name="Mba1p" localSheetId="5">#REF!</definedName>
    <definedName name="Mba1p" localSheetId="19">#REF!</definedName>
    <definedName name="Mba1p" localSheetId="3">#REF!</definedName>
    <definedName name="Mba1p">#REF!</definedName>
    <definedName name="Mba3p" localSheetId="5">#REF!</definedName>
    <definedName name="Mba3p" localSheetId="19">#REF!</definedName>
    <definedName name="Mba3p" localSheetId="3">#REF!</definedName>
    <definedName name="Mba3p">#REF!</definedName>
    <definedName name="Mbb3p" localSheetId="5">#REF!</definedName>
    <definedName name="Mbb3p" localSheetId="19">#REF!</definedName>
    <definedName name="Mbb3p" localSheetId="3">#REF!</definedName>
    <definedName name="Mbb3p">#REF!</definedName>
    <definedName name="mc" localSheetId="5">#REF!</definedName>
    <definedName name="mc" localSheetId="19">#REF!</definedName>
    <definedName name="mc" localSheetId="3">#REF!</definedName>
    <definedName name="mc">#REF!</definedName>
    <definedName name="MG_A" localSheetId="5">#REF!</definedName>
    <definedName name="MG_A" localSheetId="19">#REF!</definedName>
    <definedName name="MG_A" localSheetId="3">#REF!</definedName>
    <definedName name="MG_A">#REF!</definedName>
    <definedName name="MN" localSheetId="5">#REF!</definedName>
    <definedName name="MN" localSheetId="19">#REF!</definedName>
    <definedName name="MN" localSheetId="3">#REF!</definedName>
    <definedName name="MN">#REF!</definedName>
    <definedName name="mo" localSheetId="5" hidden="1">{"'Sheet1'!$L$16"}</definedName>
    <definedName name="mo" localSheetId="13" hidden="1">{"'Sheet1'!$L$16"}</definedName>
    <definedName name="mo" hidden="1">{"'Sheet1'!$L$16"}</definedName>
    <definedName name="moi" localSheetId="5" hidden="1">{"'Sheet1'!$L$16"}</definedName>
    <definedName name="moi" localSheetId="13" hidden="1">{"'Sheet1'!$L$16"}</definedName>
    <definedName name="moi" hidden="1">{"'Sheet1'!$L$16"}</definedName>
    <definedName name="mongbang" localSheetId="5">#REF!</definedName>
    <definedName name="mongbang" localSheetId="19">#REF!</definedName>
    <definedName name="mongbang" localSheetId="3">#REF!</definedName>
    <definedName name="mongbang">#REF!</definedName>
    <definedName name="mongdon" localSheetId="5">#REF!</definedName>
    <definedName name="mongdon" localSheetId="19">#REF!</definedName>
    <definedName name="mongdon" localSheetId="3">#REF!</definedName>
    <definedName name="mongdon">#REF!</definedName>
    <definedName name="Moùng" localSheetId="5">#REF!</definedName>
    <definedName name="Moùng" localSheetId="19">#REF!</definedName>
    <definedName name="Moùng" localSheetId="3">#REF!</definedName>
    <definedName name="Moùng">#REF!</definedName>
    <definedName name="MSCT" localSheetId="5">#REF!</definedName>
    <definedName name="MSCT" localSheetId="19">#REF!</definedName>
    <definedName name="MSCT" localSheetId="3">#REF!</definedName>
    <definedName name="MSCT">#REF!</definedName>
    <definedName name="mtcdg" localSheetId="5">#REF!</definedName>
    <definedName name="mtcdg" localSheetId="19">#REF!</definedName>
    <definedName name="mtcdg" localSheetId="3">#REF!</definedName>
    <definedName name="mtcdg">#REF!</definedName>
    <definedName name="MTMAC12" localSheetId="5">#REF!</definedName>
    <definedName name="MTMAC12" localSheetId="19">#REF!</definedName>
    <definedName name="MTMAC12" localSheetId="3">#REF!</definedName>
    <definedName name="MTMAC12">#REF!</definedName>
    <definedName name="mtram" localSheetId="5">#REF!</definedName>
    <definedName name="mtram" localSheetId="19">#REF!</definedName>
    <definedName name="mtram" localSheetId="3">#REF!</definedName>
    <definedName name="mtram">#REF!</definedName>
    <definedName name="myle" localSheetId="5">#REF!</definedName>
    <definedName name="myle" localSheetId="19">#REF!</definedName>
    <definedName name="myle" localSheetId="3">#REF!</definedName>
    <definedName name="myle">#REF!</definedName>
    <definedName name="n" localSheetId="5">#REF!</definedName>
    <definedName name="n" localSheetId="19">#REF!</definedName>
    <definedName name="n" localSheetId="3">#REF!</definedName>
    <definedName name="n">#REF!</definedName>
    <definedName name="n1pig" localSheetId="5">#REF!</definedName>
    <definedName name="n1pig" localSheetId="19">#REF!</definedName>
    <definedName name="n1pig" localSheetId="3">#REF!</definedName>
    <definedName name="n1pig">#REF!</definedName>
    <definedName name="N1pIGnc" localSheetId="5">#REF!</definedName>
    <definedName name="N1pIGnc" localSheetId="19">#REF!</definedName>
    <definedName name="N1pIGnc" localSheetId="3">#REF!</definedName>
    <definedName name="N1pIGnc">#REF!</definedName>
    <definedName name="N1pIGvc" localSheetId="5">#REF!</definedName>
    <definedName name="N1pIGvc" localSheetId="19">#REF!</definedName>
    <definedName name="N1pIGvc" localSheetId="3">#REF!</definedName>
    <definedName name="N1pIGvc">#REF!</definedName>
    <definedName name="N1pIGvl" localSheetId="5">#REF!</definedName>
    <definedName name="N1pIGvl" localSheetId="19">#REF!</definedName>
    <definedName name="N1pIGvl" localSheetId="3">#REF!</definedName>
    <definedName name="N1pIGvl">#REF!</definedName>
    <definedName name="n1pind" localSheetId="5">#REF!</definedName>
    <definedName name="n1pind" localSheetId="19">#REF!</definedName>
    <definedName name="n1pind" localSheetId="3">#REF!</definedName>
    <definedName name="n1pind">#REF!</definedName>
    <definedName name="N1pINDnc" localSheetId="5">#REF!</definedName>
    <definedName name="N1pINDnc" localSheetId="19">#REF!</definedName>
    <definedName name="N1pINDnc" localSheetId="3">#REF!</definedName>
    <definedName name="N1pINDnc">#REF!</definedName>
    <definedName name="N1pINDvc" localSheetId="5">#REF!</definedName>
    <definedName name="N1pINDvc" localSheetId="19">#REF!</definedName>
    <definedName name="N1pINDvc" localSheetId="3">#REF!</definedName>
    <definedName name="N1pINDvc">#REF!</definedName>
    <definedName name="N1pINDvl" localSheetId="5">#REF!</definedName>
    <definedName name="N1pINDvl" localSheetId="19">#REF!</definedName>
    <definedName name="N1pINDvl" localSheetId="3">#REF!</definedName>
    <definedName name="N1pINDvl">#REF!</definedName>
    <definedName name="n1pint" localSheetId="5">#REF!</definedName>
    <definedName name="n1pint" localSheetId="19">#REF!</definedName>
    <definedName name="n1pint" localSheetId="3">#REF!</definedName>
    <definedName name="n1pint">#REF!</definedName>
    <definedName name="n1ping" localSheetId="5">#REF!</definedName>
    <definedName name="n1ping" localSheetId="19">#REF!</definedName>
    <definedName name="n1ping" localSheetId="3">#REF!</definedName>
    <definedName name="n1ping">#REF!</definedName>
    <definedName name="N1pINGvc" localSheetId="5">#REF!</definedName>
    <definedName name="N1pINGvc" localSheetId="19">#REF!</definedName>
    <definedName name="N1pINGvc" localSheetId="3">#REF!</definedName>
    <definedName name="N1pINGvc">#REF!</definedName>
    <definedName name="nc" localSheetId="5">#REF!</definedName>
    <definedName name="nc" localSheetId="19">#REF!</definedName>
    <definedName name="nc" localSheetId="3">#REF!</definedName>
    <definedName name="nc">#REF!</definedName>
    <definedName name="nc_btm10" localSheetId="5">#REF!</definedName>
    <definedName name="nc_btm10" localSheetId="19">#REF!</definedName>
    <definedName name="nc_btm10" localSheetId="3">#REF!</definedName>
    <definedName name="nc_btm10">#REF!</definedName>
    <definedName name="nc_btm100" localSheetId="5">#REF!</definedName>
    <definedName name="nc_btm100" localSheetId="19">#REF!</definedName>
    <definedName name="nc_btm100" localSheetId="3">#REF!</definedName>
    <definedName name="nc_btm100">#REF!</definedName>
    <definedName name="nc3p" localSheetId="5">#REF!</definedName>
    <definedName name="nc3p" localSheetId="19">#REF!</definedName>
    <definedName name="nc3p" localSheetId="3">#REF!</definedName>
    <definedName name="nc3p">#REF!</definedName>
    <definedName name="NCBD100" localSheetId="5">#REF!</definedName>
    <definedName name="NCBD100" localSheetId="19">#REF!</definedName>
    <definedName name="NCBD100" localSheetId="3">#REF!</definedName>
    <definedName name="NCBD100">#REF!</definedName>
    <definedName name="NCBD200" localSheetId="5">#REF!</definedName>
    <definedName name="NCBD200" localSheetId="19">#REF!</definedName>
    <definedName name="NCBD200" localSheetId="3">#REF!</definedName>
    <definedName name="NCBD200">#REF!</definedName>
    <definedName name="NCBD250" localSheetId="5">#REF!</definedName>
    <definedName name="NCBD250" localSheetId="19">#REF!</definedName>
    <definedName name="NCBD250" localSheetId="3">#REF!</definedName>
    <definedName name="NCBD250">#REF!</definedName>
    <definedName name="NCCT3p" localSheetId="5">#REF!</definedName>
    <definedName name="NCCT3p" localSheetId="19">#REF!</definedName>
    <definedName name="NCCT3p" localSheetId="3">#REF!</definedName>
    <definedName name="NCCT3p">#REF!</definedName>
    <definedName name="ncdg" localSheetId="5">#REF!</definedName>
    <definedName name="ncdg" localSheetId="19">#REF!</definedName>
    <definedName name="ncdg" localSheetId="3">#REF!</definedName>
    <definedName name="ncdg">#REF!</definedName>
    <definedName name="NCKT" localSheetId="5">#REF!</definedName>
    <definedName name="NCKT" localSheetId="19">#REF!</definedName>
    <definedName name="NCKT" localSheetId="3">#REF!</definedName>
    <definedName name="NCKT">#REF!</definedName>
    <definedName name="nctram" localSheetId="5">#REF!</definedName>
    <definedName name="nctram" localSheetId="19">#REF!</definedName>
    <definedName name="nctram" localSheetId="3">#REF!</definedName>
    <definedName name="nctram">#REF!</definedName>
    <definedName name="NCVC100" localSheetId="5">#REF!</definedName>
    <definedName name="NCVC100" localSheetId="19">#REF!</definedName>
    <definedName name="NCVC100" localSheetId="3">#REF!</definedName>
    <definedName name="NCVC100">#REF!</definedName>
    <definedName name="NCVC200" localSheetId="5">#REF!</definedName>
    <definedName name="NCVC200" localSheetId="19">#REF!</definedName>
    <definedName name="NCVC200" localSheetId="3">#REF!</definedName>
    <definedName name="NCVC200">#REF!</definedName>
    <definedName name="NCVC250" localSheetId="5">#REF!</definedName>
    <definedName name="NCVC250" localSheetId="19">#REF!</definedName>
    <definedName name="NCVC250" localSheetId="3">#REF!</definedName>
    <definedName name="NCVC250">#REF!</definedName>
    <definedName name="NCVC3P" localSheetId="5">#REF!</definedName>
    <definedName name="NCVC3P" localSheetId="19">#REF!</definedName>
    <definedName name="NCVC3P" localSheetId="3">#REF!</definedName>
    <definedName name="NCVC3P">#REF!</definedName>
    <definedName name="NET" localSheetId="5">#REF!</definedName>
    <definedName name="NET" localSheetId="19">#REF!</definedName>
    <definedName name="NET" localSheetId="3">#REF!</definedName>
    <definedName name="NET">#REF!</definedName>
    <definedName name="NET_1" localSheetId="5">#REF!</definedName>
    <definedName name="NET_1" localSheetId="19">#REF!</definedName>
    <definedName name="NET_1" localSheetId="3">#REF!</definedName>
    <definedName name="NET_1">#REF!</definedName>
    <definedName name="NET_ANA" localSheetId="5">#REF!</definedName>
    <definedName name="NET_ANA" localSheetId="19">#REF!</definedName>
    <definedName name="NET_ANA" localSheetId="3">#REF!</definedName>
    <definedName name="NET_ANA">#REF!</definedName>
    <definedName name="NET_ANA_1" localSheetId="5">#REF!</definedName>
    <definedName name="NET_ANA_1" localSheetId="19">#REF!</definedName>
    <definedName name="NET_ANA_1" localSheetId="3">#REF!</definedName>
    <definedName name="NET_ANA_1">#REF!</definedName>
    <definedName name="NET_ANA_2" localSheetId="5">#REF!</definedName>
    <definedName name="NET_ANA_2" localSheetId="19">#REF!</definedName>
    <definedName name="NET_ANA_2" localSheetId="3">#REF!</definedName>
    <definedName name="NET_ANA_2">#REF!</definedName>
    <definedName name="nig" localSheetId="5">#REF!</definedName>
    <definedName name="nig" localSheetId="19">#REF!</definedName>
    <definedName name="nig" localSheetId="3">#REF!</definedName>
    <definedName name="nig">#REF!</definedName>
    <definedName name="nig1p" localSheetId="5">#REF!</definedName>
    <definedName name="nig1p" localSheetId="19">#REF!</definedName>
    <definedName name="nig1p" localSheetId="3">#REF!</definedName>
    <definedName name="nig1p">#REF!</definedName>
    <definedName name="nig3p" localSheetId="5">#REF!</definedName>
    <definedName name="nig3p" localSheetId="19">#REF!</definedName>
    <definedName name="nig3p" localSheetId="3">#REF!</definedName>
    <definedName name="nig3p">#REF!</definedName>
    <definedName name="NIGnc" localSheetId="5">#REF!</definedName>
    <definedName name="NIGnc" localSheetId="19">#REF!</definedName>
    <definedName name="NIGnc" localSheetId="3">#REF!</definedName>
    <definedName name="NIGnc">#REF!</definedName>
    <definedName name="nignc1p" localSheetId="5">#REF!</definedName>
    <definedName name="nignc1p" localSheetId="19">#REF!</definedName>
    <definedName name="nignc1p" localSheetId="3">#REF!</definedName>
    <definedName name="nignc1p">#REF!</definedName>
    <definedName name="NIGvc" localSheetId="5">#REF!</definedName>
    <definedName name="NIGvc" localSheetId="19">#REF!</definedName>
    <definedName name="NIGvc" localSheetId="3">#REF!</definedName>
    <definedName name="NIGvc">#REF!</definedName>
    <definedName name="NIGvl" localSheetId="5">#REF!</definedName>
    <definedName name="NIGvl" localSheetId="19">#REF!</definedName>
    <definedName name="NIGvl" localSheetId="3">#REF!</definedName>
    <definedName name="NIGvl">#REF!</definedName>
    <definedName name="nigvl1p" localSheetId="5">#REF!</definedName>
    <definedName name="nigvl1p" localSheetId="19">#REF!</definedName>
    <definedName name="nigvl1p" localSheetId="3">#REF!</definedName>
    <definedName name="nigvl1p">#REF!</definedName>
    <definedName name="nin" localSheetId="5">#REF!</definedName>
    <definedName name="nin" localSheetId="19">#REF!</definedName>
    <definedName name="nin" localSheetId="3">#REF!</definedName>
    <definedName name="nin">#REF!</definedName>
    <definedName name="nin1903p" localSheetId="5">#REF!</definedName>
    <definedName name="nin1903p" localSheetId="19">#REF!</definedName>
    <definedName name="nin1903p" localSheetId="3">#REF!</definedName>
    <definedName name="nin1903p">#REF!</definedName>
    <definedName name="nin3p" localSheetId="5">#REF!</definedName>
    <definedName name="nin3p" localSheetId="19">#REF!</definedName>
    <definedName name="nin3p" localSheetId="3">#REF!</definedName>
    <definedName name="nin3p">#REF!</definedName>
    <definedName name="nind" localSheetId="5">#REF!</definedName>
    <definedName name="nind" localSheetId="19">#REF!</definedName>
    <definedName name="nind" localSheetId="3">#REF!</definedName>
    <definedName name="nind">#REF!</definedName>
    <definedName name="nind1p" localSheetId="5">#REF!</definedName>
    <definedName name="nind1p" localSheetId="19">#REF!</definedName>
    <definedName name="nind1p" localSheetId="3">#REF!</definedName>
    <definedName name="nind1p">#REF!</definedName>
    <definedName name="nind3p" localSheetId="5">#REF!</definedName>
    <definedName name="nind3p" localSheetId="19">#REF!</definedName>
    <definedName name="nind3p" localSheetId="3">#REF!</definedName>
    <definedName name="nind3p">#REF!</definedName>
    <definedName name="NINDnc" localSheetId="5">#REF!</definedName>
    <definedName name="NINDnc" localSheetId="19">#REF!</definedName>
    <definedName name="NINDnc" localSheetId="3">#REF!</definedName>
    <definedName name="NINDnc">#REF!</definedName>
    <definedName name="nindnc1p" localSheetId="5">#REF!</definedName>
    <definedName name="nindnc1p" localSheetId="19">#REF!</definedName>
    <definedName name="nindnc1p" localSheetId="3">#REF!</definedName>
    <definedName name="nindnc1p">#REF!</definedName>
    <definedName name="NINDvc" localSheetId="5">#REF!</definedName>
    <definedName name="NINDvc" localSheetId="19">#REF!</definedName>
    <definedName name="NINDvc" localSheetId="3">#REF!</definedName>
    <definedName name="NINDvc">#REF!</definedName>
    <definedName name="NINDvl" localSheetId="5">#REF!</definedName>
    <definedName name="NINDvl" localSheetId="19">#REF!</definedName>
    <definedName name="NINDvl" localSheetId="3">#REF!</definedName>
    <definedName name="NINDvl">#REF!</definedName>
    <definedName name="nindvl1p" localSheetId="5">#REF!</definedName>
    <definedName name="nindvl1p" localSheetId="19">#REF!</definedName>
    <definedName name="nindvl1p" localSheetId="3">#REF!</definedName>
    <definedName name="nindvl1p">#REF!</definedName>
    <definedName name="NINnc" localSheetId="5">#REF!</definedName>
    <definedName name="NINnc" localSheetId="19">#REF!</definedName>
    <definedName name="NINnc" localSheetId="3">#REF!</definedName>
    <definedName name="NINnc">#REF!</definedName>
    <definedName name="nint1p" localSheetId="5">#REF!</definedName>
    <definedName name="nint1p" localSheetId="19">#REF!</definedName>
    <definedName name="nint1p" localSheetId="3">#REF!</definedName>
    <definedName name="nint1p">#REF!</definedName>
    <definedName name="nintnc1p" localSheetId="5">#REF!</definedName>
    <definedName name="nintnc1p" localSheetId="19">#REF!</definedName>
    <definedName name="nintnc1p" localSheetId="3">#REF!</definedName>
    <definedName name="nintnc1p">#REF!</definedName>
    <definedName name="nintvl1p" localSheetId="5">#REF!</definedName>
    <definedName name="nintvl1p" localSheetId="19">#REF!</definedName>
    <definedName name="nintvl1p" localSheetId="3">#REF!</definedName>
    <definedName name="nintvl1p">#REF!</definedName>
    <definedName name="NINvc" localSheetId="5">#REF!</definedName>
    <definedName name="NINvc" localSheetId="19">#REF!</definedName>
    <definedName name="NINvc" localSheetId="3">#REF!</definedName>
    <definedName name="NINvc">#REF!</definedName>
    <definedName name="NINvl" localSheetId="5">#REF!</definedName>
    <definedName name="NINvl" localSheetId="19">#REF!</definedName>
    <definedName name="NINvl" localSheetId="3">#REF!</definedName>
    <definedName name="NINvl">#REF!</definedName>
    <definedName name="ning1p" localSheetId="5">#REF!</definedName>
    <definedName name="ning1p" localSheetId="19">#REF!</definedName>
    <definedName name="ning1p" localSheetId="3">#REF!</definedName>
    <definedName name="ning1p">#REF!</definedName>
    <definedName name="ningnc1p" localSheetId="5">#REF!</definedName>
    <definedName name="ningnc1p" localSheetId="19">#REF!</definedName>
    <definedName name="ningnc1p" localSheetId="3">#REF!</definedName>
    <definedName name="ningnc1p">#REF!</definedName>
    <definedName name="ningvl1p" localSheetId="5">#REF!</definedName>
    <definedName name="ningvl1p" localSheetId="19">#REF!</definedName>
    <definedName name="ningvl1p" localSheetId="3">#REF!</definedName>
    <definedName name="ningvl1p">#REF!</definedName>
    <definedName name="nl" localSheetId="5">#REF!</definedName>
    <definedName name="nl" localSheetId="19">#REF!</definedName>
    <definedName name="nl" localSheetId="3">#REF!</definedName>
    <definedName name="nl">#REF!</definedName>
    <definedName name="nl1p" localSheetId="5">#REF!</definedName>
    <definedName name="nl1p" localSheetId="19">#REF!</definedName>
    <definedName name="nl1p" localSheetId="3">#REF!</definedName>
    <definedName name="nl1p">#REF!</definedName>
    <definedName name="nl3p" localSheetId="5">#REF!</definedName>
    <definedName name="nl3p" localSheetId="19">#REF!</definedName>
    <definedName name="nl3p" localSheetId="3">#REF!</definedName>
    <definedName name="nl3p">#REF!</definedName>
    <definedName name="nlht" localSheetId="5">#REF!</definedName>
    <definedName name="nlht" localSheetId="19">#REF!</definedName>
    <definedName name="nlht" localSheetId="3">#REF!</definedName>
    <definedName name="nlht">#REF!</definedName>
    <definedName name="NLTK1p" localSheetId="5">#REF!</definedName>
    <definedName name="NLTK1p" localSheetId="19">#REF!</definedName>
    <definedName name="NLTK1p" localSheetId="3">#REF!</definedName>
    <definedName name="NLTK1p">#REF!</definedName>
    <definedName name="nn" localSheetId="5">#REF!</definedName>
    <definedName name="nn" localSheetId="19">#REF!</definedName>
    <definedName name="nn" localSheetId="3">#REF!</definedName>
    <definedName name="nn">#REF!</definedName>
    <definedName name="nn1p" localSheetId="5">#REF!</definedName>
    <definedName name="nn1p" localSheetId="19">#REF!</definedName>
    <definedName name="nn1p" localSheetId="3">#REF!</definedName>
    <definedName name="nn1p">#REF!</definedName>
    <definedName name="nn3p" localSheetId="5">#REF!</definedName>
    <definedName name="nn3p" localSheetId="19">#REF!</definedName>
    <definedName name="nn3p" localSheetId="3">#REF!</definedName>
    <definedName name="nn3p">#REF!</definedName>
    <definedName name="No" localSheetId="5">#REF!</definedName>
    <definedName name="No" localSheetId="19">#REF!</definedName>
    <definedName name="No" localSheetId="3">#REF!</definedName>
    <definedName name="No">#REF!</definedName>
    <definedName name="nx" localSheetId="5">#REF!</definedName>
    <definedName name="nx" localSheetId="19">#REF!</definedName>
    <definedName name="nx" localSheetId="3">#REF!</definedName>
    <definedName name="nx">#REF!</definedName>
    <definedName name="NH" localSheetId="5">#REF!</definedName>
    <definedName name="NH" localSheetId="19">#REF!</definedName>
    <definedName name="NH" localSheetId="3">#REF!</definedName>
    <definedName name="NH">#REF!</definedName>
    <definedName name="NHANH2_CG4" localSheetId="5" hidden="1">{"'Sheet1'!$L$16"}</definedName>
    <definedName name="NHANH2_CG4" localSheetId="13" hidden="1">{"'Sheet1'!$L$16"}</definedName>
    <definedName name="NHANH2_CG4" hidden="1">{"'Sheet1'!$L$16"}</definedName>
    <definedName name="nhn" localSheetId="5">#REF!</definedName>
    <definedName name="nhn" localSheetId="19">#REF!</definedName>
    <definedName name="nhn" localSheetId="3">#REF!</definedName>
    <definedName name="nhn">#REF!</definedName>
    <definedName name="NHot" localSheetId="5">#REF!</definedName>
    <definedName name="NHot" localSheetId="19">#REF!</definedName>
    <definedName name="NHot" localSheetId="3">#REF!</definedName>
    <definedName name="NHot">#REF!</definedName>
    <definedName name="nhu" localSheetId="5">#REF!</definedName>
    <definedName name="nhu" localSheetId="19">#REF!</definedName>
    <definedName name="nhu" localSheetId="3">#REF!</definedName>
    <definedName name="nhu">#REF!</definedName>
    <definedName name="nhua" localSheetId="5">#REF!</definedName>
    <definedName name="nhua" localSheetId="19">#REF!</definedName>
    <definedName name="nhua" localSheetId="3">#REF!</definedName>
    <definedName name="nhua">#REF!</definedName>
    <definedName name="nhuad" localSheetId="5">#REF!</definedName>
    <definedName name="nhuad" localSheetId="19">#REF!</definedName>
    <definedName name="nhuad" localSheetId="3">#REF!</definedName>
    <definedName name="nhuad">#REF!</definedName>
    <definedName name="o" localSheetId="5" hidden="1">{"'Sheet1'!$L$16"}</definedName>
    <definedName name="o" localSheetId="13" hidden="1">{"'Sheet1'!$L$16"}</definedName>
    <definedName name="o" hidden="1">{"'Sheet1'!$L$16"}</definedName>
    <definedName name="ophom" localSheetId="5">#REF!</definedName>
    <definedName name="ophom" localSheetId="19">#REF!</definedName>
    <definedName name="ophom" localSheetId="3">#REF!</definedName>
    <definedName name="ophom">#REF!</definedName>
    <definedName name="OrderTable" localSheetId="5" hidden="1">#REF!</definedName>
    <definedName name="OrderTable" localSheetId="13" hidden="1">#REF!</definedName>
    <definedName name="OrderTable" localSheetId="19" hidden="1">#REF!</definedName>
    <definedName name="OrderTable" localSheetId="8" hidden="1">#REF!</definedName>
    <definedName name="OrderTable" localSheetId="6" hidden="1">#REF!</definedName>
    <definedName name="OrderTable" localSheetId="11" hidden="1">#REF!</definedName>
    <definedName name="OrderTable" localSheetId="0" hidden="1">#REF!</definedName>
    <definedName name="OrderTable" localSheetId="15" hidden="1">#REF!</definedName>
    <definedName name="OrderTable" localSheetId="2" hidden="1">#REF!</definedName>
    <definedName name="OrderTable" localSheetId="7" hidden="1">#REF!</definedName>
    <definedName name="OrderTable" localSheetId="3" hidden="1">#REF!</definedName>
    <definedName name="OrderTable" hidden="1">#REF!</definedName>
    <definedName name="osc" localSheetId="5">#REF!</definedName>
    <definedName name="osc" localSheetId="19">#REF!</definedName>
    <definedName name="osc" localSheetId="3">#REF!</definedName>
    <definedName name="osc">#REF!</definedName>
    <definedName name="PA" localSheetId="5">#REF!</definedName>
    <definedName name="PA" localSheetId="19">#REF!</definedName>
    <definedName name="PA" localSheetId="3">#REF!</definedName>
    <definedName name="PA">#REF!</definedName>
    <definedName name="PAIII_" localSheetId="5" hidden="1">{"'Sheet1'!$L$16"}</definedName>
    <definedName name="PAIII_" localSheetId="13" hidden="1">{"'Sheet1'!$L$16"}</definedName>
    <definedName name="PAIII_" hidden="1">{"'Sheet1'!$L$16"}</definedName>
    <definedName name="panen" localSheetId="5">#REF!</definedName>
    <definedName name="panen" localSheetId="19">#REF!</definedName>
    <definedName name="panen" localSheetId="3">#REF!</definedName>
    <definedName name="panen">#REF!</definedName>
    <definedName name="PLKL" localSheetId="5">#REF!</definedName>
    <definedName name="PLKL" localSheetId="19">#REF!</definedName>
    <definedName name="PLKL" localSheetId="3">#REF!</definedName>
    <definedName name="PLKL">#REF!</definedName>
    <definedName name="PMS" localSheetId="5" hidden="1">{"'Sheet1'!$L$16"}</definedName>
    <definedName name="PMS" localSheetId="13" hidden="1">{"'Sheet1'!$L$16"}</definedName>
    <definedName name="PMS" hidden="1">{"'Sheet1'!$L$16"}</definedName>
    <definedName name="PRICE" localSheetId="5">#REF!</definedName>
    <definedName name="PRICE" localSheetId="19">#REF!</definedName>
    <definedName name="PRICE" localSheetId="3">#REF!</definedName>
    <definedName name="PRICE">#REF!</definedName>
    <definedName name="PRICE1" localSheetId="5">#REF!</definedName>
    <definedName name="PRICE1" localSheetId="19">#REF!</definedName>
    <definedName name="PRICE1" localSheetId="3">#REF!</definedName>
    <definedName name="PRICE1">#REF!</definedName>
    <definedName name="_xlnm.Print_Area" localSheetId="5">'27,01,2021'!$A$2:$E$132</definedName>
    <definedName name="_xlnm.Print_Area" localSheetId="8">'Chi tiết'!$B$1:$Y$535</definedName>
    <definedName name="_xlnm.Print_Area" localSheetId="6">'chi tiết (final)'!$B$1:$Y$345</definedName>
    <definedName name="_xlnm.Print_Area" localSheetId="12">'DT giao 2021'!$A$1:$I$17</definedName>
    <definedName name="_xlnm.Print_Area" localSheetId="1">'rà soát noi dung'!$B$1:$X$543</definedName>
    <definedName name="_xlnm.Print_Area" localSheetId="7">'TH rút gon NVy covid'!$A$1:$Z$66</definedName>
    <definedName name="_xlnm.Print_Area" localSheetId="3">'TH rút gon NVy covid (2)'!$A$1:$Z$66</definedName>
    <definedName name="_xlnm.Print_Titles" localSheetId="5">'27,01,2021'!$A:$B,'27,01,2021'!$5:$5</definedName>
    <definedName name="_xlnm.Print_Titles" localSheetId="13">'chi khong thuong xuyen he du ph'!$A:$B,'chi khong thuong xuyen he du ph'!$4:$5</definedName>
    <definedName name="_xlnm.Print_Titles" localSheetId="19">'CHI TIET CHI CUC'!$4:$4</definedName>
    <definedName name="_xlnm.Print_Titles" localSheetId="8">'Chi tiết'!$4:$7</definedName>
    <definedName name="_xlnm.Print_Titles" localSheetId="6">'chi tiết (final)'!$4:$7</definedName>
    <definedName name="_xlnm.Print_Titles" localSheetId="11">'chi tiết 2021 9Nhi'!$2:$2</definedName>
    <definedName name="_xlnm.Print_Titles" localSheetId="4">'năm 2021 họp GĐ (phân bổ chíức)'!$5:$6</definedName>
    <definedName name="_xlnm.Print_Titles" localSheetId="1">'rà soát noi dung'!$4:$8</definedName>
    <definedName name="_xlnm.Print_Titles" localSheetId="15">'TH rút gọn (2)'!$4:$7</definedName>
    <definedName name="_xlnm.Print_Titles" localSheetId="2">'TH rút gọn (3)'!$4:$7</definedName>
    <definedName name="_xlnm.Print_Titles" localSheetId="7">'TH rút gon NVy covid'!$4:$7</definedName>
    <definedName name="_xlnm.Print_Titles" localSheetId="3">'TH rút gon NVy covid (2)'!$4:$7</definedName>
    <definedName name="_xlnm.Print_Titles">#N/A</definedName>
    <definedName name="Print_Titles_MI" localSheetId="5">#REF!</definedName>
    <definedName name="Print_Titles_MI" localSheetId="19">#REF!</definedName>
    <definedName name="Print_Titles_MI" localSheetId="3">#REF!</definedName>
    <definedName name="Print_Titles_MI">#REF!</definedName>
    <definedName name="PRINTA" localSheetId="5">#REF!</definedName>
    <definedName name="PRINTA" localSheetId="19">#REF!</definedName>
    <definedName name="PRINTA" localSheetId="3">#REF!</definedName>
    <definedName name="PRINTA">#REF!</definedName>
    <definedName name="PRINTB" localSheetId="5">#REF!</definedName>
    <definedName name="PRINTB" localSheetId="19">#REF!</definedName>
    <definedName name="PRINTB" localSheetId="3">#REF!</definedName>
    <definedName name="PRINTB">#REF!</definedName>
    <definedName name="PRINTC" localSheetId="5">#REF!</definedName>
    <definedName name="PRINTC" localSheetId="19">#REF!</definedName>
    <definedName name="PRINTC" localSheetId="3">#REF!</definedName>
    <definedName name="PRINTC">#REF!</definedName>
    <definedName name="ProdForm" localSheetId="5" hidden="1">#REF!</definedName>
    <definedName name="ProdForm" localSheetId="13" hidden="1">#REF!</definedName>
    <definedName name="ProdForm" localSheetId="19" hidden="1">#REF!</definedName>
    <definedName name="ProdForm" localSheetId="8" hidden="1">#REF!</definedName>
    <definedName name="ProdForm" localSheetId="6" hidden="1">#REF!</definedName>
    <definedName name="ProdForm" localSheetId="11" hidden="1">#REF!</definedName>
    <definedName name="ProdForm" localSheetId="0" hidden="1">#REF!</definedName>
    <definedName name="ProdForm" localSheetId="15" hidden="1">#REF!</definedName>
    <definedName name="ProdForm" localSheetId="2" hidden="1">#REF!</definedName>
    <definedName name="ProdForm" localSheetId="7" hidden="1">#REF!</definedName>
    <definedName name="ProdForm" localSheetId="3" hidden="1">#REF!</definedName>
    <definedName name="ProdForm" hidden="1">#REF!</definedName>
    <definedName name="Product" localSheetId="5" hidden="1">#REF!</definedName>
    <definedName name="Product" localSheetId="13" hidden="1">#REF!</definedName>
    <definedName name="Product" localSheetId="19" hidden="1">#REF!</definedName>
    <definedName name="Product" localSheetId="8" hidden="1">#REF!</definedName>
    <definedName name="Product" localSheetId="6" hidden="1">#REF!</definedName>
    <definedName name="Product" localSheetId="11" hidden="1">#REF!</definedName>
    <definedName name="Product" localSheetId="0" hidden="1">#REF!</definedName>
    <definedName name="Product" localSheetId="15" hidden="1">#REF!</definedName>
    <definedName name="Product" localSheetId="2" hidden="1">#REF!</definedName>
    <definedName name="Product" localSheetId="7" hidden="1">#REF!</definedName>
    <definedName name="Product" localSheetId="3" hidden="1">#REF!</definedName>
    <definedName name="Product" hidden="1">#REF!</definedName>
    <definedName name="PROPOSAL" localSheetId="5">#REF!</definedName>
    <definedName name="PROPOSAL" localSheetId="19">#REF!</definedName>
    <definedName name="PROPOSAL" localSheetId="3">#REF!</definedName>
    <definedName name="PROPOSAL">#REF!</definedName>
    <definedName name="pt" localSheetId="5">#REF!</definedName>
    <definedName name="pt" localSheetId="19">#REF!</definedName>
    <definedName name="pt" localSheetId="3">#REF!</definedName>
    <definedName name="pt">#REF!</definedName>
    <definedName name="PT_Duong" localSheetId="5">#REF!</definedName>
    <definedName name="PT_Duong" localSheetId="19">#REF!</definedName>
    <definedName name="PT_Duong" localSheetId="3">#REF!</definedName>
    <definedName name="PT_Duong">#REF!</definedName>
    <definedName name="ptdg" localSheetId="5">#REF!</definedName>
    <definedName name="ptdg" localSheetId="19">#REF!</definedName>
    <definedName name="ptdg" localSheetId="3">#REF!</definedName>
    <definedName name="ptdg">#REF!</definedName>
    <definedName name="PTDG_cau" localSheetId="5">#REF!</definedName>
    <definedName name="PTDG_cau" localSheetId="19">#REF!</definedName>
    <definedName name="PTDG_cau" localSheetId="3">#REF!</definedName>
    <definedName name="PTDG_cau">#REF!</definedName>
    <definedName name="PTNC" localSheetId="5">#REF!</definedName>
    <definedName name="PTNC" localSheetId="19">#REF!</definedName>
    <definedName name="PTNC" localSheetId="3">#REF!</definedName>
    <definedName name="PTNC">#REF!</definedName>
    <definedName name="pvd" localSheetId="5">#REF!</definedName>
    <definedName name="pvd" localSheetId="19">#REF!</definedName>
    <definedName name="pvd" localSheetId="3">#REF!</definedName>
    <definedName name="pvd">#REF!</definedName>
    <definedName name="PHAN_DIEN_DZ0.4KV" localSheetId="5">#REF!</definedName>
    <definedName name="PHAN_DIEN_DZ0.4KV" localSheetId="19">#REF!</definedName>
    <definedName name="PHAN_DIEN_DZ0.4KV" localSheetId="3">#REF!</definedName>
    <definedName name="PHAN_DIEN_DZ0.4KV">#REF!</definedName>
    <definedName name="PHAN_DIEN_TBA" localSheetId="5">#REF!</definedName>
    <definedName name="PHAN_DIEN_TBA" localSheetId="19">#REF!</definedName>
    <definedName name="PHAN_DIEN_TBA" localSheetId="3">#REF!</definedName>
    <definedName name="PHAN_DIEN_TBA">#REF!</definedName>
    <definedName name="PHAN_MUA_SAM_DZ0.4KV" localSheetId="5">#REF!</definedName>
    <definedName name="PHAN_MUA_SAM_DZ0.4KV" localSheetId="19">#REF!</definedName>
    <definedName name="PHAN_MUA_SAM_DZ0.4KV" localSheetId="3">#REF!</definedName>
    <definedName name="PHAN_MUA_SAM_DZ0.4KV">#REF!</definedName>
    <definedName name="phu_luc_vua" localSheetId="5">#REF!</definedName>
    <definedName name="phu_luc_vua" localSheetId="19">#REF!</definedName>
    <definedName name="phu_luc_vua" localSheetId="3">#REF!</definedName>
    <definedName name="phu_luc_vua">#REF!</definedName>
    <definedName name="qtdm" localSheetId="5">#REF!</definedName>
    <definedName name="qtdm" localSheetId="19">#REF!</definedName>
    <definedName name="qtdm" localSheetId="3">#REF!</definedName>
    <definedName name="qtdm">#REF!</definedName>
    <definedName name="ra11p" localSheetId="5">#REF!</definedName>
    <definedName name="ra11p" localSheetId="19">#REF!</definedName>
    <definedName name="ra11p" localSheetId="3">#REF!</definedName>
    <definedName name="ra11p">#REF!</definedName>
    <definedName name="ra13p" localSheetId="5">#REF!</definedName>
    <definedName name="ra13p" localSheetId="19">#REF!</definedName>
    <definedName name="ra13p" localSheetId="3">#REF!</definedName>
    <definedName name="ra13p">#REF!</definedName>
    <definedName name="rack1" localSheetId="5">#REF!</definedName>
    <definedName name="rack1" localSheetId="19">#REF!</definedName>
    <definedName name="rack1" localSheetId="3">#REF!</definedName>
    <definedName name="rack1">#REF!</definedName>
    <definedName name="rack2" localSheetId="5">#REF!</definedName>
    <definedName name="rack2" localSheetId="19">#REF!</definedName>
    <definedName name="rack2" localSheetId="3">#REF!</definedName>
    <definedName name="rack2">#REF!</definedName>
    <definedName name="rack3" localSheetId="5">#REF!</definedName>
    <definedName name="rack3" localSheetId="19">#REF!</definedName>
    <definedName name="rack3" localSheetId="3">#REF!</definedName>
    <definedName name="rack3">#REF!</definedName>
    <definedName name="rack4" localSheetId="5">#REF!</definedName>
    <definedName name="rack4" localSheetId="19">#REF!</definedName>
    <definedName name="rack4" localSheetId="3">#REF!</definedName>
    <definedName name="rack4">#REF!</definedName>
    <definedName name="rate">14000</definedName>
    <definedName name="RCArea" localSheetId="5" hidden="1">#REF!</definedName>
    <definedName name="RCArea" localSheetId="13" hidden="1">#REF!</definedName>
    <definedName name="RCArea" localSheetId="19" hidden="1">#REF!</definedName>
    <definedName name="RCArea" localSheetId="8" hidden="1">#REF!</definedName>
    <definedName name="RCArea" localSheetId="6" hidden="1">#REF!</definedName>
    <definedName name="RCArea" localSheetId="11" hidden="1">#REF!</definedName>
    <definedName name="RCArea" localSheetId="0" hidden="1">#REF!</definedName>
    <definedName name="RCArea" localSheetId="15" hidden="1">#REF!</definedName>
    <definedName name="RCArea" localSheetId="2" hidden="1">#REF!</definedName>
    <definedName name="RCArea" localSheetId="7" hidden="1">#REF!</definedName>
    <definedName name="RCArea" localSheetId="3" hidden="1">#REF!</definedName>
    <definedName name="RCArea" hidden="1">#REF!</definedName>
    <definedName name="_xlnm.Recorder" localSheetId="5">#REF!</definedName>
    <definedName name="_xlnm.Recorder" localSheetId="19">#REF!</definedName>
    <definedName name="_xlnm.Recorder" localSheetId="3">#REF!</definedName>
    <definedName name="_xlnm.Recorder">#REF!</definedName>
    <definedName name="RECOUT">#N/A</definedName>
    <definedName name="rewq" localSheetId="5" hidden="1">#REF!</definedName>
    <definedName name="rewq" localSheetId="13" hidden="1">#REF!</definedName>
    <definedName name="rewq" localSheetId="19" hidden="1">#REF!</definedName>
    <definedName name="rewq" localSheetId="8" hidden="1">#REF!</definedName>
    <definedName name="rewq" localSheetId="6" hidden="1">#REF!</definedName>
    <definedName name="rewq" localSheetId="11" hidden="1">#REF!</definedName>
    <definedName name="rewq" localSheetId="0" hidden="1">#REF!</definedName>
    <definedName name="rewq" localSheetId="15" hidden="1">#REF!</definedName>
    <definedName name="rewq" localSheetId="2" hidden="1">#REF!</definedName>
    <definedName name="rewq" localSheetId="7" hidden="1">#REF!</definedName>
    <definedName name="rewq" localSheetId="3" hidden="1">#REF!</definedName>
    <definedName name="rewq" hidden="1">#REF!</definedName>
    <definedName name="RFP003A" localSheetId="5">#REF!</definedName>
    <definedName name="RFP003A" localSheetId="19">#REF!</definedName>
    <definedName name="RFP003A" localSheetId="3">#REF!</definedName>
    <definedName name="RFP003A">#REF!</definedName>
    <definedName name="RFP003B" localSheetId="5">#REF!</definedName>
    <definedName name="RFP003B" localSheetId="19">#REF!</definedName>
    <definedName name="RFP003B" localSheetId="3">#REF!</definedName>
    <definedName name="RFP003B">#REF!</definedName>
    <definedName name="RFP003C" localSheetId="5">#REF!</definedName>
    <definedName name="RFP003C" localSheetId="19">#REF!</definedName>
    <definedName name="RFP003C" localSheetId="3">#REF!</definedName>
    <definedName name="RFP003C">#REF!</definedName>
    <definedName name="RFP003D" localSheetId="5">#REF!</definedName>
    <definedName name="RFP003D" localSheetId="19">#REF!</definedName>
    <definedName name="RFP003D" localSheetId="3">#REF!</definedName>
    <definedName name="RFP003D">#REF!</definedName>
    <definedName name="RFP003E" localSheetId="5">#REF!</definedName>
    <definedName name="RFP003E" localSheetId="19">#REF!</definedName>
    <definedName name="RFP003E" localSheetId="3">#REF!</definedName>
    <definedName name="RFP003E">#REF!</definedName>
    <definedName name="RFP003F" localSheetId="5">#REF!</definedName>
    <definedName name="RFP003F" localSheetId="19">#REF!</definedName>
    <definedName name="RFP003F" localSheetId="3">#REF!</definedName>
    <definedName name="RFP003F">#REF!</definedName>
    <definedName name="rong1" localSheetId="5">#REF!</definedName>
    <definedName name="rong1" localSheetId="19">#REF!</definedName>
    <definedName name="rong1" localSheetId="3">#REF!</definedName>
    <definedName name="rong1">#REF!</definedName>
    <definedName name="rong2" localSheetId="5">#REF!</definedName>
    <definedName name="rong2" localSheetId="19">#REF!</definedName>
    <definedName name="rong2" localSheetId="3">#REF!</definedName>
    <definedName name="rong2">#REF!</definedName>
    <definedName name="rong3" localSheetId="5">#REF!</definedName>
    <definedName name="rong3" localSheetId="19">#REF!</definedName>
    <definedName name="rong3" localSheetId="3">#REF!</definedName>
    <definedName name="rong3">#REF!</definedName>
    <definedName name="rong4" localSheetId="5">#REF!</definedName>
    <definedName name="rong4" localSheetId="19">#REF!</definedName>
    <definedName name="rong4" localSheetId="3">#REF!</definedName>
    <definedName name="rong4">#REF!</definedName>
    <definedName name="rong5" localSheetId="5">#REF!</definedName>
    <definedName name="rong5" localSheetId="19">#REF!</definedName>
    <definedName name="rong5" localSheetId="3">#REF!</definedName>
    <definedName name="rong5">#REF!</definedName>
    <definedName name="rong6" localSheetId="5">#REF!</definedName>
    <definedName name="rong6" localSheetId="19">#REF!</definedName>
    <definedName name="rong6" localSheetId="3">#REF!</definedName>
    <definedName name="rong6">#REF!</definedName>
    <definedName name="san" localSheetId="5">#REF!</definedName>
    <definedName name="san" localSheetId="19">#REF!</definedName>
    <definedName name="san" localSheetId="3">#REF!</definedName>
    <definedName name="san">#REF!</definedName>
    <definedName name="sand" localSheetId="5">#REF!</definedName>
    <definedName name="sand" localSheetId="19">#REF!</definedName>
    <definedName name="sand" localSheetId="3">#REF!</definedName>
    <definedName name="sand">#REF!</definedName>
    <definedName name="SCH" localSheetId="5">#REF!</definedName>
    <definedName name="SCH" localSheetId="19">#REF!</definedName>
    <definedName name="SCH" localSheetId="3">#REF!</definedName>
    <definedName name="SCH">#REF!</definedName>
    <definedName name="sd1p" localSheetId="5">#REF!</definedName>
    <definedName name="sd1p" localSheetId="19">#REF!</definedName>
    <definedName name="sd1p" localSheetId="3">#REF!</definedName>
    <definedName name="sd1p">#REF!</definedName>
    <definedName name="sd3p" localSheetId="5">#REF!</definedName>
    <definedName name="sd3p" localSheetId="19">#REF!</definedName>
    <definedName name="sd3p" localSheetId="3">#REF!</definedName>
    <definedName name="sd3p">#REF!</definedName>
    <definedName name="sdbv" localSheetId="5" hidden="1">{"'Sheet1'!$L$16"}</definedName>
    <definedName name="sdbv" localSheetId="13" hidden="1">{"'Sheet1'!$L$16"}</definedName>
    <definedName name="sdbv" hidden="1">{"'Sheet1'!$L$16"}</definedName>
    <definedName name="SDMONG" localSheetId="5">#REF!</definedName>
    <definedName name="SDMONG" localSheetId="19">#REF!</definedName>
    <definedName name="SDMONG" localSheetId="3">#REF!</definedName>
    <definedName name="SDMONG">#REF!</definedName>
    <definedName name="sho" localSheetId="5">#REF!</definedName>
    <definedName name="sho" localSheetId="19">#REF!</definedName>
    <definedName name="sho" localSheetId="3">#REF!</definedName>
    <definedName name="sho">#REF!</definedName>
    <definedName name="sht" localSheetId="5">#REF!</definedName>
    <definedName name="sht" localSheetId="19">#REF!</definedName>
    <definedName name="sht" localSheetId="3">#REF!</definedName>
    <definedName name="sht">#REF!</definedName>
    <definedName name="sht1p" localSheetId="5">#REF!</definedName>
    <definedName name="sht1p" localSheetId="19">#REF!</definedName>
    <definedName name="sht1p" localSheetId="3">#REF!</definedName>
    <definedName name="sht1p">#REF!</definedName>
    <definedName name="sht3p" localSheetId="5">#REF!</definedName>
    <definedName name="sht3p" localSheetId="19">#REF!</definedName>
    <definedName name="sht3p" localSheetId="3">#REF!</definedName>
    <definedName name="sht3p">#REF!</definedName>
    <definedName name="SIZE" localSheetId="5">#REF!</definedName>
    <definedName name="SIZE" localSheetId="19">#REF!</definedName>
    <definedName name="SIZE" localSheetId="3">#REF!</definedName>
    <definedName name="SIZE">#REF!</definedName>
    <definedName name="SL_CRD" localSheetId="5">#REF!</definedName>
    <definedName name="SL_CRD" localSheetId="19">#REF!</definedName>
    <definedName name="SL_CRD" localSheetId="3">#REF!</definedName>
    <definedName name="SL_CRD">#REF!</definedName>
    <definedName name="SL_CRS" localSheetId="5">#REF!</definedName>
    <definedName name="SL_CRS" localSheetId="19">#REF!</definedName>
    <definedName name="SL_CRS" localSheetId="3">#REF!</definedName>
    <definedName name="SL_CRS">#REF!</definedName>
    <definedName name="SL_CS" localSheetId="5">#REF!</definedName>
    <definedName name="SL_CS" localSheetId="19">#REF!</definedName>
    <definedName name="SL_CS" localSheetId="3">#REF!</definedName>
    <definedName name="SL_CS">#REF!</definedName>
    <definedName name="SL_DD" localSheetId="5">#REF!</definedName>
    <definedName name="SL_DD" localSheetId="19">#REF!</definedName>
    <definedName name="SL_DD" localSheetId="3">#REF!</definedName>
    <definedName name="SL_DD">#REF!</definedName>
    <definedName name="slg" localSheetId="5">#REF!</definedName>
    <definedName name="slg" localSheetId="19">#REF!</definedName>
    <definedName name="slg" localSheetId="3">#REF!</definedName>
    <definedName name="slg">#REF!</definedName>
    <definedName name="soc3p" localSheetId="5">#REF!</definedName>
    <definedName name="soc3p" localSheetId="19">#REF!</definedName>
    <definedName name="soc3p" localSheetId="3">#REF!</definedName>
    <definedName name="soc3p">#REF!</definedName>
    <definedName name="Soi" localSheetId="5">#REF!</definedName>
    <definedName name="Soi" localSheetId="19">#REF!</definedName>
    <definedName name="Soi" localSheetId="3">#REF!</definedName>
    <definedName name="Soi">#REF!</definedName>
    <definedName name="soichon12" localSheetId="5">#REF!</definedName>
    <definedName name="soichon12" localSheetId="19">#REF!</definedName>
    <definedName name="soichon12" localSheetId="3">#REF!</definedName>
    <definedName name="soichon12">#REF!</definedName>
    <definedName name="soichon24" localSheetId="5">#REF!</definedName>
    <definedName name="soichon24" localSheetId="19">#REF!</definedName>
    <definedName name="soichon24" localSheetId="3">#REF!</definedName>
    <definedName name="soichon24">#REF!</definedName>
    <definedName name="soichon46" localSheetId="5">#REF!</definedName>
    <definedName name="soichon46" localSheetId="19">#REF!</definedName>
    <definedName name="soichon46" localSheetId="3">#REF!</definedName>
    <definedName name="soichon46">#REF!</definedName>
    <definedName name="solieu" localSheetId="5">#REF!</definedName>
    <definedName name="solieu" localSheetId="19">#REF!</definedName>
    <definedName name="solieu" localSheetId="3">#REF!</definedName>
    <definedName name="solieu">#REF!</definedName>
    <definedName name="sort" localSheetId="5" hidden="1">#REF!</definedName>
    <definedName name="sort" localSheetId="13" hidden="1">#REF!</definedName>
    <definedName name="sort" localSheetId="19" hidden="1">#REF!</definedName>
    <definedName name="sort" localSheetId="8" hidden="1">#REF!</definedName>
    <definedName name="sort" localSheetId="6" hidden="1">#REF!</definedName>
    <definedName name="sort" localSheetId="11" hidden="1">#REF!</definedName>
    <definedName name="sort" localSheetId="0" hidden="1">#REF!</definedName>
    <definedName name="sort" localSheetId="15" hidden="1">#REF!</definedName>
    <definedName name="sort" localSheetId="2" hidden="1">#REF!</definedName>
    <definedName name="sort" localSheetId="7" hidden="1">#REF!</definedName>
    <definedName name="sort" localSheetId="3" hidden="1">#REF!</definedName>
    <definedName name="sort" hidden="1">#REF!</definedName>
    <definedName name="Sosanh2" localSheetId="5" hidden="1">{"'Sheet1'!$L$16"}</definedName>
    <definedName name="Sosanh2" localSheetId="13" hidden="1">{"'Sheet1'!$L$16"}</definedName>
    <definedName name="Sosanh2" hidden="1">{"'Sheet1'!$L$16"}</definedName>
    <definedName name="SPEC" localSheetId="5">#REF!</definedName>
    <definedName name="SPEC" localSheetId="19">#REF!</definedName>
    <definedName name="SPEC" localSheetId="3">#REF!</definedName>
    <definedName name="SPEC">#REF!</definedName>
    <definedName name="SpecialPrice" localSheetId="5" hidden="1">#REF!</definedName>
    <definedName name="SpecialPrice" localSheetId="13" hidden="1">#REF!</definedName>
    <definedName name="SpecialPrice" localSheetId="19" hidden="1">#REF!</definedName>
    <definedName name="SpecialPrice" localSheetId="8" hidden="1">#REF!</definedName>
    <definedName name="SpecialPrice" localSheetId="6" hidden="1">#REF!</definedName>
    <definedName name="SpecialPrice" localSheetId="11" hidden="1">#REF!</definedName>
    <definedName name="SpecialPrice" localSheetId="0" hidden="1">#REF!</definedName>
    <definedName name="SpecialPrice" localSheetId="15" hidden="1">#REF!</definedName>
    <definedName name="SpecialPrice" localSheetId="2" hidden="1">#REF!</definedName>
    <definedName name="SpecialPrice" localSheetId="7" hidden="1">#REF!</definedName>
    <definedName name="SpecialPrice" localSheetId="3" hidden="1">#REF!</definedName>
    <definedName name="SpecialPrice" hidden="1">#REF!</definedName>
    <definedName name="SPECSUMMARY" localSheetId="5">#REF!</definedName>
    <definedName name="SPECSUMMARY" localSheetId="19">#REF!</definedName>
    <definedName name="SPECSUMMARY" localSheetId="3">#REF!</definedName>
    <definedName name="SPECSUMMARY">#REF!</definedName>
    <definedName name="ss" localSheetId="5">#REF!</definedName>
    <definedName name="ss" localSheetId="19">#REF!</definedName>
    <definedName name="ss" localSheetId="3">#REF!</definedName>
    <definedName name="ss">#REF!</definedName>
    <definedName name="sss" localSheetId="5">#REF!</definedName>
    <definedName name="sss" localSheetId="19">#REF!</definedName>
    <definedName name="sss" localSheetId="3">#REF!</definedName>
    <definedName name="sss">#REF!</definedName>
    <definedName name="st1p" localSheetId="5">#REF!</definedName>
    <definedName name="st1p" localSheetId="19">#REF!</definedName>
    <definedName name="st1p" localSheetId="3">#REF!</definedName>
    <definedName name="st1p">#REF!</definedName>
    <definedName name="st3p" localSheetId="5">#REF!</definedName>
    <definedName name="st3p" localSheetId="19">#REF!</definedName>
    <definedName name="st3p" localSheetId="3">#REF!</definedName>
    <definedName name="st3p">#REF!</definedName>
    <definedName name="Start_1" localSheetId="5">#REF!</definedName>
    <definedName name="Start_1" localSheetId="19">#REF!</definedName>
    <definedName name="Start_1" localSheetId="3">#REF!</definedName>
    <definedName name="Start_1">#REF!</definedName>
    <definedName name="Start_10" localSheetId="5">#REF!</definedName>
    <definedName name="Start_10" localSheetId="19">#REF!</definedName>
    <definedName name="Start_10" localSheetId="3">#REF!</definedName>
    <definedName name="Start_10">#REF!</definedName>
    <definedName name="Start_11" localSheetId="5">#REF!</definedName>
    <definedName name="Start_11" localSheetId="19">#REF!</definedName>
    <definedName name="Start_11" localSheetId="3">#REF!</definedName>
    <definedName name="Start_11">#REF!</definedName>
    <definedName name="Start_12" localSheetId="5">#REF!</definedName>
    <definedName name="Start_12" localSheetId="19">#REF!</definedName>
    <definedName name="Start_12" localSheetId="3">#REF!</definedName>
    <definedName name="Start_12">#REF!</definedName>
    <definedName name="Start_13" localSheetId="5">#REF!</definedName>
    <definedName name="Start_13" localSheetId="19">#REF!</definedName>
    <definedName name="Start_13" localSheetId="3">#REF!</definedName>
    <definedName name="Start_13">#REF!</definedName>
    <definedName name="Start_2" localSheetId="5">#REF!</definedName>
    <definedName name="Start_2" localSheetId="19">#REF!</definedName>
    <definedName name="Start_2" localSheetId="3">#REF!</definedName>
    <definedName name="Start_2">#REF!</definedName>
    <definedName name="Start_3" localSheetId="5">#REF!</definedName>
    <definedName name="Start_3" localSheetId="19">#REF!</definedName>
    <definedName name="Start_3" localSheetId="3">#REF!</definedName>
    <definedName name="Start_3">#REF!</definedName>
    <definedName name="Start_4" localSheetId="5">#REF!</definedName>
    <definedName name="Start_4" localSheetId="19">#REF!</definedName>
    <definedName name="Start_4" localSheetId="3">#REF!</definedName>
    <definedName name="Start_4">#REF!</definedName>
    <definedName name="Start_5" localSheetId="5">#REF!</definedName>
    <definedName name="Start_5" localSheetId="19">#REF!</definedName>
    <definedName name="Start_5" localSheetId="3">#REF!</definedName>
    <definedName name="Start_5">#REF!</definedName>
    <definedName name="Start_6" localSheetId="5">#REF!</definedName>
    <definedName name="Start_6" localSheetId="19">#REF!</definedName>
    <definedName name="Start_6" localSheetId="3">#REF!</definedName>
    <definedName name="Start_6">#REF!</definedName>
    <definedName name="Start_7" localSheetId="5">#REF!</definedName>
    <definedName name="Start_7" localSheetId="19">#REF!</definedName>
    <definedName name="Start_7" localSheetId="3">#REF!</definedName>
    <definedName name="Start_7">#REF!</definedName>
    <definedName name="Start_8" localSheetId="5">#REF!</definedName>
    <definedName name="Start_8" localSheetId="19">#REF!</definedName>
    <definedName name="Start_8" localSheetId="3">#REF!</definedName>
    <definedName name="Start_8">#REF!</definedName>
    <definedName name="Start_9" localSheetId="5">#REF!</definedName>
    <definedName name="Start_9" localSheetId="19">#REF!</definedName>
    <definedName name="Start_9" localSheetId="3">#REF!</definedName>
    <definedName name="Start_9">#REF!</definedName>
    <definedName name="SU" localSheetId="5">#REF!</definedName>
    <definedName name="SU" localSheetId="19">#REF!</definedName>
    <definedName name="SU" localSheetId="3">#REF!</definedName>
    <definedName name="SU">#REF!</definedName>
    <definedName name="sub" localSheetId="5">#REF!</definedName>
    <definedName name="sub" localSheetId="19">#REF!</definedName>
    <definedName name="sub" localSheetId="3">#REF!</definedName>
    <definedName name="sub">#REF!</definedName>
    <definedName name="SUMMARY" localSheetId="5">#REF!</definedName>
    <definedName name="SUMMARY" localSheetId="19">#REF!</definedName>
    <definedName name="SUMMARY" localSheetId="3">#REF!</definedName>
    <definedName name="SUMMARY">#REF!</definedName>
    <definedName name="sur" localSheetId="5">#REF!</definedName>
    <definedName name="sur" localSheetId="19">#REF!</definedName>
    <definedName name="sur" localSheetId="3">#REF!</definedName>
    <definedName name="sur">#REF!</definedName>
    <definedName name="T" localSheetId="5">#REF!</definedName>
    <definedName name="T" localSheetId="19">#REF!</definedName>
    <definedName name="T" localSheetId="3">#REF!</definedName>
    <definedName name="T">#REF!</definedName>
    <definedName name="T.3" localSheetId="5" hidden="1">{"'Sheet1'!$L$16"}</definedName>
    <definedName name="T.3" localSheetId="13" hidden="1">{"'Sheet1'!$L$16"}</definedName>
    <definedName name="T.3" hidden="1">{"'Sheet1'!$L$16"}</definedName>
    <definedName name="t101p" localSheetId="5">#REF!</definedName>
    <definedName name="t101p" localSheetId="19">#REF!</definedName>
    <definedName name="t101p" localSheetId="3">#REF!</definedName>
    <definedName name="t101p">#REF!</definedName>
    <definedName name="t103p" localSheetId="5">#REF!</definedName>
    <definedName name="t103p" localSheetId="19">#REF!</definedName>
    <definedName name="t103p" localSheetId="3">#REF!</definedName>
    <definedName name="t103p">#REF!</definedName>
    <definedName name="t10m" localSheetId="5">#REF!</definedName>
    <definedName name="t10m" localSheetId="19">#REF!</definedName>
    <definedName name="t10m" localSheetId="3">#REF!</definedName>
    <definedName name="t10m">#REF!</definedName>
    <definedName name="t10nc1p" localSheetId="5">#REF!</definedName>
    <definedName name="t10nc1p" localSheetId="19">#REF!</definedName>
    <definedName name="t10nc1p" localSheetId="3">#REF!</definedName>
    <definedName name="t10nc1p">#REF!</definedName>
    <definedName name="t10vl1p" localSheetId="5">#REF!</definedName>
    <definedName name="t10vl1p" localSheetId="19">#REF!</definedName>
    <definedName name="t10vl1p" localSheetId="3">#REF!</definedName>
    <definedName name="t10vl1p">#REF!</definedName>
    <definedName name="t121p" localSheetId="5">#REF!</definedName>
    <definedName name="t121p" localSheetId="19">#REF!</definedName>
    <definedName name="t121p" localSheetId="3">#REF!</definedName>
    <definedName name="t121p">#REF!</definedName>
    <definedName name="t123p" localSheetId="5">#REF!</definedName>
    <definedName name="t123p" localSheetId="19">#REF!</definedName>
    <definedName name="t123p" localSheetId="3">#REF!</definedName>
    <definedName name="t123p">#REF!</definedName>
    <definedName name="T12nc" localSheetId="5">#REF!</definedName>
    <definedName name="T12nc" localSheetId="19">#REF!</definedName>
    <definedName name="T12nc" localSheetId="3">#REF!</definedName>
    <definedName name="T12nc">#REF!</definedName>
    <definedName name="t12nc3p" localSheetId="5">#REF!</definedName>
    <definedName name="t12nc3p" localSheetId="19">#REF!</definedName>
    <definedName name="t12nc3p" localSheetId="3">#REF!</definedName>
    <definedName name="t12nc3p">#REF!</definedName>
    <definedName name="T12vc" localSheetId="5">#REF!</definedName>
    <definedName name="T12vc" localSheetId="19">#REF!</definedName>
    <definedName name="T12vc" localSheetId="3">#REF!</definedName>
    <definedName name="T12vc">#REF!</definedName>
    <definedName name="T12vl" localSheetId="5">#REF!</definedName>
    <definedName name="T12vl" localSheetId="19">#REF!</definedName>
    <definedName name="T12vl" localSheetId="3">#REF!</definedName>
    <definedName name="T12vl">#REF!</definedName>
    <definedName name="t141p" localSheetId="5">#REF!</definedName>
    <definedName name="t141p" localSheetId="19">#REF!</definedName>
    <definedName name="t141p" localSheetId="3">#REF!</definedName>
    <definedName name="t141p">#REF!</definedName>
    <definedName name="t143p" localSheetId="5">#REF!</definedName>
    <definedName name="t143p" localSheetId="19">#REF!</definedName>
    <definedName name="t143p" localSheetId="3">#REF!</definedName>
    <definedName name="t143p">#REF!</definedName>
    <definedName name="t7m" localSheetId="5">#REF!</definedName>
    <definedName name="t7m" localSheetId="19">#REF!</definedName>
    <definedName name="t7m" localSheetId="3">#REF!</definedName>
    <definedName name="t7m">#REF!</definedName>
    <definedName name="t8m" localSheetId="5">#REF!</definedName>
    <definedName name="t8m" localSheetId="19">#REF!</definedName>
    <definedName name="t8m" localSheetId="3">#REF!</definedName>
    <definedName name="t8m">#REF!</definedName>
    <definedName name="Tæng_c_ng_suÊt_hiÖn_t_i">"THOP"</definedName>
    <definedName name="TAMTINH" localSheetId="5">#REF!</definedName>
    <definedName name="TAMTINH" localSheetId="19">#REF!</definedName>
    <definedName name="TAMTINH" localSheetId="3">#REF!</definedName>
    <definedName name="TAMTINH">#REF!</definedName>
    <definedName name="TaxTV">10%</definedName>
    <definedName name="TaxXL">5%</definedName>
    <definedName name="TBA" localSheetId="5">#REF!</definedName>
    <definedName name="TBA" localSheetId="19">#REF!</definedName>
    <definedName name="TBA" localSheetId="3">#REF!</definedName>
    <definedName name="TBA">#REF!</definedName>
    <definedName name="tbl_ProdInfo" localSheetId="5" hidden="1">#REF!</definedName>
    <definedName name="tbl_ProdInfo" localSheetId="13" hidden="1">#REF!</definedName>
    <definedName name="tbl_ProdInfo" localSheetId="19" hidden="1">#REF!</definedName>
    <definedName name="tbl_ProdInfo" localSheetId="8" hidden="1">#REF!</definedName>
    <definedName name="tbl_ProdInfo" localSheetId="6" hidden="1">#REF!</definedName>
    <definedName name="tbl_ProdInfo" localSheetId="11" hidden="1">#REF!</definedName>
    <definedName name="tbl_ProdInfo" localSheetId="0" hidden="1">#REF!</definedName>
    <definedName name="tbl_ProdInfo" localSheetId="15" hidden="1">#REF!</definedName>
    <definedName name="tbl_ProdInfo" localSheetId="2" hidden="1">#REF!</definedName>
    <definedName name="tbl_ProdInfo" localSheetId="7" hidden="1">#REF!</definedName>
    <definedName name="tbl_ProdInfo" localSheetId="3" hidden="1">#REF!</definedName>
    <definedName name="tbl_ProdInfo" hidden="1">#REF!</definedName>
    <definedName name="tbtram" localSheetId="5">#REF!</definedName>
    <definedName name="tbtram" localSheetId="19">#REF!</definedName>
    <definedName name="tbtram" localSheetId="3">#REF!</definedName>
    <definedName name="tbtram">#REF!</definedName>
    <definedName name="TBXD" localSheetId="5">#REF!</definedName>
    <definedName name="TBXD" localSheetId="19">#REF!</definedName>
    <definedName name="TBXD" localSheetId="3">#REF!</definedName>
    <definedName name="TBXD">#REF!</definedName>
    <definedName name="TC" localSheetId="5">#REF!</definedName>
    <definedName name="TC" localSheetId="19">#REF!</definedName>
    <definedName name="TC" localSheetId="3">#REF!</definedName>
    <definedName name="TC">#REF!</definedName>
    <definedName name="TC_NHANH1" localSheetId="5">#REF!</definedName>
    <definedName name="TC_NHANH1" localSheetId="19">#REF!</definedName>
    <definedName name="TC_NHANH1" localSheetId="3">#REF!</definedName>
    <definedName name="TC_NHANH1">#REF!</definedName>
    <definedName name="TD" localSheetId="5">#REF!</definedName>
    <definedName name="TD" localSheetId="19">#REF!</definedName>
    <definedName name="TD" localSheetId="3">#REF!</definedName>
    <definedName name="TD">#REF!</definedName>
    <definedName name="TD12vl" localSheetId="5">#REF!</definedName>
    <definedName name="TD12vl" localSheetId="19">#REF!</definedName>
    <definedName name="TD12vl" localSheetId="3">#REF!</definedName>
    <definedName name="TD12vl">#REF!</definedName>
    <definedName name="TD1p1nc" localSheetId="5">#REF!</definedName>
    <definedName name="TD1p1nc" localSheetId="19">#REF!</definedName>
    <definedName name="TD1p1nc" localSheetId="3">#REF!</definedName>
    <definedName name="TD1p1nc">#REF!</definedName>
    <definedName name="td1p1vc" localSheetId="5">#REF!</definedName>
    <definedName name="td1p1vc" localSheetId="19">#REF!</definedName>
    <definedName name="td1p1vc" localSheetId="3">#REF!</definedName>
    <definedName name="td1p1vc">#REF!</definedName>
    <definedName name="TD1p1vl" localSheetId="5">#REF!</definedName>
    <definedName name="TD1p1vl" localSheetId="19">#REF!</definedName>
    <definedName name="TD1p1vl" localSheetId="3">#REF!</definedName>
    <definedName name="TD1p1vl">#REF!</definedName>
    <definedName name="td3p" localSheetId="5">#REF!</definedName>
    <definedName name="td3p" localSheetId="19">#REF!</definedName>
    <definedName name="td3p" localSheetId="3">#REF!</definedName>
    <definedName name="td3p">#REF!</definedName>
    <definedName name="TDctnc" localSheetId="5">#REF!</definedName>
    <definedName name="TDctnc" localSheetId="19">#REF!</definedName>
    <definedName name="TDctnc" localSheetId="3">#REF!</definedName>
    <definedName name="TDctnc">#REF!</definedName>
    <definedName name="TDctvc" localSheetId="5">#REF!</definedName>
    <definedName name="TDctvc" localSheetId="19">#REF!</definedName>
    <definedName name="TDctvc" localSheetId="3">#REF!</definedName>
    <definedName name="TDctvc">#REF!</definedName>
    <definedName name="TDctvl" localSheetId="5">#REF!</definedName>
    <definedName name="TDctvl" localSheetId="19">#REF!</definedName>
    <definedName name="TDctvl" localSheetId="3">#REF!</definedName>
    <definedName name="TDctvl">#REF!</definedName>
    <definedName name="tdia" localSheetId="5">#REF!</definedName>
    <definedName name="tdia" localSheetId="19">#REF!</definedName>
    <definedName name="tdia" localSheetId="3">#REF!</definedName>
    <definedName name="tdia">#REF!</definedName>
    <definedName name="tdnc1p" localSheetId="5">#REF!</definedName>
    <definedName name="tdnc1p" localSheetId="19">#REF!</definedName>
    <definedName name="tdnc1p" localSheetId="3">#REF!</definedName>
    <definedName name="tdnc1p">#REF!</definedName>
    <definedName name="tdt" localSheetId="5">#REF!</definedName>
    <definedName name="tdt" localSheetId="19">#REF!</definedName>
    <definedName name="tdt" localSheetId="3">#REF!</definedName>
    <definedName name="tdt">#REF!</definedName>
    <definedName name="tdtr2cnc" localSheetId="5">#REF!</definedName>
    <definedName name="tdtr2cnc" localSheetId="19">#REF!</definedName>
    <definedName name="tdtr2cnc" localSheetId="3">#REF!</definedName>
    <definedName name="tdtr2cnc">#REF!</definedName>
    <definedName name="tdtr2cvl" localSheetId="5">#REF!</definedName>
    <definedName name="tdtr2cvl" localSheetId="19">#REF!</definedName>
    <definedName name="tdtr2cvl" localSheetId="3">#REF!</definedName>
    <definedName name="tdtr2cvl">#REF!</definedName>
    <definedName name="tdvl1p" localSheetId="5">#REF!</definedName>
    <definedName name="tdvl1p" localSheetId="19">#REF!</definedName>
    <definedName name="tdvl1p" localSheetId="3">#REF!</definedName>
    <definedName name="tdvl1p">#REF!</definedName>
    <definedName name="tenck" localSheetId="5">#REF!</definedName>
    <definedName name="tenck" localSheetId="19">#REF!</definedName>
    <definedName name="tenck" localSheetId="3">#REF!</definedName>
    <definedName name="tenck">#REF!</definedName>
    <definedName name="Tien" localSheetId="5">#REF!</definedName>
    <definedName name="Tien" localSheetId="19">#REF!</definedName>
    <definedName name="Tien" localSheetId="3">#REF!</definedName>
    <definedName name="Tien">#REF!</definedName>
    <definedName name="TIENLUONG" localSheetId="5">#REF!</definedName>
    <definedName name="TIENLUONG" localSheetId="19">#REF!</definedName>
    <definedName name="TIENLUONG" localSheetId="3">#REF!</definedName>
    <definedName name="TIENLUONG">#REF!</definedName>
    <definedName name="Tiepdiama">9500</definedName>
    <definedName name="TIEU_HAO_VAT_TU_DZ0.4KV" localSheetId="5">#REF!</definedName>
    <definedName name="TIEU_HAO_VAT_TU_DZ0.4KV" localSheetId="19">#REF!</definedName>
    <definedName name="TIEU_HAO_VAT_TU_DZ0.4KV" localSheetId="3">#REF!</definedName>
    <definedName name="TIEU_HAO_VAT_TU_DZ0.4KV">#REF!</definedName>
    <definedName name="TIEU_HAO_VAT_TU_DZ22KV" localSheetId="5">#REF!</definedName>
    <definedName name="TIEU_HAO_VAT_TU_DZ22KV" localSheetId="19">#REF!</definedName>
    <definedName name="TIEU_HAO_VAT_TU_DZ22KV" localSheetId="3">#REF!</definedName>
    <definedName name="TIEU_HAO_VAT_TU_DZ22KV">#REF!</definedName>
    <definedName name="TIEU_HAO_VAT_TU_TBA" localSheetId="5">#REF!</definedName>
    <definedName name="TIEU_HAO_VAT_TU_TBA" localSheetId="19">#REF!</definedName>
    <definedName name="TIEU_HAO_VAT_TU_TBA" localSheetId="3">#REF!</definedName>
    <definedName name="TIEU_HAO_VAT_TU_TBA">#REF!</definedName>
    <definedName name="TIT" localSheetId="5">#REF!</definedName>
    <definedName name="TIT" localSheetId="19">#REF!</definedName>
    <definedName name="TIT" localSheetId="3">#REF!</definedName>
    <definedName name="TIT">#REF!</definedName>
    <definedName name="TITAN" localSheetId="5">#REF!</definedName>
    <definedName name="TITAN" localSheetId="19">#REF!</definedName>
    <definedName name="TITAN" localSheetId="3">#REF!</definedName>
    <definedName name="TITAN">#REF!</definedName>
    <definedName name="tk" localSheetId="5">#REF!</definedName>
    <definedName name="tk" localSheetId="19">#REF!</definedName>
    <definedName name="tk" localSheetId="3">#REF!</definedName>
    <definedName name="tk">#REF!</definedName>
    <definedName name="TKP" localSheetId="5">#REF!</definedName>
    <definedName name="TKP" localSheetId="19">#REF!</definedName>
    <definedName name="TKP" localSheetId="3">#REF!</definedName>
    <definedName name="TKP">#REF!</definedName>
    <definedName name="TLAC120" localSheetId="5">#REF!</definedName>
    <definedName name="TLAC120" localSheetId="19">#REF!</definedName>
    <definedName name="TLAC120" localSheetId="3">#REF!</definedName>
    <definedName name="TLAC120">#REF!</definedName>
    <definedName name="TLAC35" localSheetId="5">#REF!</definedName>
    <definedName name="TLAC35" localSheetId="19">#REF!</definedName>
    <definedName name="TLAC35" localSheetId="3">#REF!</definedName>
    <definedName name="TLAC35">#REF!</definedName>
    <definedName name="TLAC50" localSheetId="5">#REF!</definedName>
    <definedName name="TLAC50" localSheetId="19">#REF!</definedName>
    <definedName name="TLAC50" localSheetId="3">#REF!</definedName>
    <definedName name="TLAC50">#REF!</definedName>
    <definedName name="TLAC70" localSheetId="5">#REF!</definedName>
    <definedName name="TLAC70" localSheetId="19">#REF!</definedName>
    <definedName name="TLAC70" localSheetId="3">#REF!</definedName>
    <definedName name="TLAC70">#REF!</definedName>
    <definedName name="TLAC95" localSheetId="5">#REF!</definedName>
    <definedName name="TLAC95" localSheetId="19">#REF!</definedName>
    <definedName name="TLAC95" localSheetId="3">#REF!</definedName>
    <definedName name="TLAC95">#REF!</definedName>
    <definedName name="Tle" localSheetId="5">#REF!</definedName>
    <definedName name="Tle" localSheetId="19">#REF!</definedName>
    <definedName name="Tle" localSheetId="3">#REF!</definedName>
    <definedName name="Tle">#REF!</definedName>
    <definedName name="Tonmai" localSheetId="5">#REF!</definedName>
    <definedName name="Tonmai" localSheetId="19">#REF!</definedName>
    <definedName name="Tonmai" localSheetId="3">#REF!</definedName>
    <definedName name="Tonmai">#REF!</definedName>
    <definedName name="TONG_GIA_TRI_CONG_TRINH" localSheetId="5">#REF!</definedName>
    <definedName name="TONG_GIA_TRI_CONG_TRINH" localSheetId="19">#REF!</definedName>
    <definedName name="TONG_GIA_TRI_CONG_TRINH" localSheetId="3">#REF!</definedName>
    <definedName name="TONG_GIA_TRI_CONG_TRINH">#REF!</definedName>
    <definedName name="TONG_HOP_THI_NGHIEM_DZ0.4KV" localSheetId="5">#REF!</definedName>
    <definedName name="TONG_HOP_THI_NGHIEM_DZ0.4KV" localSheetId="19">#REF!</definedName>
    <definedName name="TONG_HOP_THI_NGHIEM_DZ0.4KV" localSheetId="3">#REF!</definedName>
    <definedName name="TONG_HOP_THI_NGHIEM_DZ0.4KV">#REF!</definedName>
    <definedName name="TONG_HOP_THI_NGHIEM_DZ22KV" localSheetId="5">#REF!</definedName>
    <definedName name="TONG_HOP_THI_NGHIEM_DZ22KV" localSheetId="19">#REF!</definedName>
    <definedName name="TONG_HOP_THI_NGHIEM_DZ22KV" localSheetId="3">#REF!</definedName>
    <definedName name="TONG_HOP_THI_NGHIEM_DZ22KV">#REF!</definedName>
    <definedName name="TONG_KE_TBA" localSheetId="5">#REF!</definedName>
    <definedName name="TONG_KE_TBA" localSheetId="19">#REF!</definedName>
    <definedName name="TONG_KE_TBA" localSheetId="3">#REF!</definedName>
    <definedName name="TONG_KE_TBA">#REF!</definedName>
    <definedName name="tongbt" localSheetId="5">#REF!</definedName>
    <definedName name="tongbt" localSheetId="19">#REF!</definedName>
    <definedName name="tongbt" localSheetId="3">#REF!</definedName>
    <definedName name="tongbt">#REF!</definedName>
    <definedName name="tongcong" localSheetId="5">#REF!</definedName>
    <definedName name="tongcong" localSheetId="19">#REF!</definedName>
    <definedName name="tongcong" localSheetId="3">#REF!</definedName>
    <definedName name="tongcong">#REF!</definedName>
    <definedName name="tongdientich" localSheetId="5">#REF!</definedName>
    <definedName name="tongdientich" localSheetId="19">#REF!</definedName>
    <definedName name="tongdientich" localSheetId="3">#REF!</definedName>
    <definedName name="tongdientich">#REF!</definedName>
    <definedName name="TONGDUTOAN" localSheetId="5">#REF!</definedName>
    <definedName name="TONGDUTOAN" localSheetId="19">#REF!</definedName>
    <definedName name="TONGDUTOAN" localSheetId="3">#REF!</definedName>
    <definedName name="TONGDUTOAN">#REF!</definedName>
    <definedName name="tongthep" localSheetId="5">#REF!</definedName>
    <definedName name="tongthep" localSheetId="19">#REF!</definedName>
    <definedName name="tongthep" localSheetId="3">#REF!</definedName>
    <definedName name="tongthep">#REF!</definedName>
    <definedName name="tongthetich" localSheetId="5">#REF!</definedName>
    <definedName name="tongthetich" localSheetId="19">#REF!</definedName>
    <definedName name="tongthetich" localSheetId="3">#REF!</definedName>
    <definedName name="tongthetich">#REF!</definedName>
    <definedName name="TPLRP" localSheetId="5">#REF!</definedName>
    <definedName name="TPLRP" localSheetId="19">#REF!</definedName>
    <definedName name="TPLRP" localSheetId="3">#REF!</definedName>
    <definedName name="TPLRP">#REF!</definedName>
    <definedName name="TT_1P" localSheetId="5">#REF!</definedName>
    <definedName name="TT_1P" localSheetId="19">#REF!</definedName>
    <definedName name="TT_1P" localSheetId="3">#REF!</definedName>
    <definedName name="TT_1P">#REF!</definedName>
    <definedName name="TT_3p" localSheetId="5">#REF!</definedName>
    <definedName name="TT_3p" localSheetId="19">#REF!</definedName>
    <definedName name="TT_3p" localSheetId="3">#REF!</definedName>
    <definedName name="TT_3p">#REF!</definedName>
    <definedName name="TTDD1P" localSheetId="5">#REF!</definedName>
    <definedName name="TTDD1P" localSheetId="19">#REF!</definedName>
    <definedName name="TTDD1P" localSheetId="3">#REF!</definedName>
    <definedName name="TTDD1P">#REF!</definedName>
    <definedName name="TTDKKH" localSheetId="5">#REF!</definedName>
    <definedName name="TTDKKH" localSheetId="19">#REF!</definedName>
    <definedName name="TTDKKH" localSheetId="3">#REF!</definedName>
    <definedName name="TTDKKH">#REF!</definedName>
    <definedName name="tthi" localSheetId="5">#REF!</definedName>
    <definedName name="tthi" localSheetId="19">#REF!</definedName>
    <definedName name="tthi" localSheetId="3">#REF!</definedName>
    <definedName name="tthi">#REF!</definedName>
    <definedName name="ttronmk" localSheetId="5">#REF!</definedName>
    <definedName name="ttronmk" localSheetId="19">#REF!</definedName>
    <definedName name="ttronmk" localSheetId="3">#REF!</definedName>
    <definedName name="ttronmk">#REF!</definedName>
    <definedName name="tuyennhanh" localSheetId="5" hidden="1">{"'Sheet1'!$L$16"}</definedName>
    <definedName name="tuyennhanh" localSheetId="13" hidden="1">{"'Sheet1'!$L$16"}</definedName>
    <definedName name="tuyennhanh" hidden="1">{"'Sheet1'!$L$16"}</definedName>
    <definedName name="tv75nc" localSheetId="5">#REF!</definedName>
    <definedName name="tv75nc" localSheetId="19">#REF!</definedName>
    <definedName name="tv75nc" localSheetId="3">#REF!</definedName>
    <definedName name="tv75nc">#REF!</definedName>
    <definedName name="tv75vl" localSheetId="5">#REF!</definedName>
    <definedName name="tv75vl" localSheetId="19">#REF!</definedName>
    <definedName name="tv75vl" localSheetId="3">#REF!</definedName>
    <definedName name="tv75vl">#REF!</definedName>
    <definedName name="ty_le" localSheetId="5">#REF!</definedName>
    <definedName name="ty_le" localSheetId="19">#REF!</definedName>
    <definedName name="ty_le" localSheetId="3">#REF!</definedName>
    <definedName name="ty_le">#REF!</definedName>
    <definedName name="ty_le_BTN" localSheetId="5">#REF!</definedName>
    <definedName name="ty_le_BTN" localSheetId="19">#REF!</definedName>
    <definedName name="ty_le_BTN" localSheetId="3">#REF!</definedName>
    <definedName name="ty_le_BTN">#REF!</definedName>
    <definedName name="Ty_le1" localSheetId="5">#REF!</definedName>
    <definedName name="Ty_le1" localSheetId="19">#REF!</definedName>
    <definedName name="Ty_le1" localSheetId="3">#REF!</definedName>
    <definedName name="Ty_le1">#REF!</definedName>
    <definedName name="tha" localSheetId="5" hidden="1">{"'Sheet1'!$L$16"}</definedName>
    <definedName name="tha" localSheetId="13" hidden="1">{"'Sheet1'!$L$16"}</definedName>
    <definedName name="tha" hidden="1">{"'Sheet1'!$L$16"}</definedName>
    <definedName name="thang" localSheetId="5">#REF!</definedName>
    <definedName name="thang" localSheetId="19">#REF!</definedName>
    <definedName name="thang" localSheetId="3">#REF!</definedName>
    <definedName name="thang">#REF!</definedName>
    <definedName name="thanhtien" localSheetId="5">#REF!</definedName>
    <definedName name="thanhtien" localSheetId="19">#REF!</definedName>
    <definedName name="thanhtien" localSheetId="3">#REF!</definedName>
    <definedName name="thanhtien">#REF!</definedName>
    <definedName name="THchon" localSheetId="5">#REF!</definedName>
    <definedName name="THchon" localSheetId="19">#REF!</definedName>
    <definedName name="THchon" localSheetId="3">#REF!</definedName>
    <definedName name="THchon">#REF!</definedName>
    <definedName name="thdt" localSheetId="5">#REF!</definedName>
    <definedName name="thdt" localSheetId="19">#REF!</definedName>
    <definedName name="thdt" localSheetId="3">#REF!</definedName>
    <definedName name="thdt">#REF!</definedName>
    <definedName name="THDT_HT_DAO_THUONG" localSheetId="5">#REF!</definedName>
    <definedName name="THDT_HT_DAO_THUONG" localSheetId="19">#REF!</definedName>
    <definedName name="THDT_HT_DAO_THUONG" localSheetId="3">#REF!</definedName>
    <definedName name="THDT_HT_DAO_THUONG">#REF!</definedName>
    <definedName name="THDT_HT_XOM_NOI" localSheetId="5">#REF!</definedName>
    <definedName name="THDT_HT_XOM_NOI" localSheetId="19">#REF!</definedName>
    <definedName name="THDT_HT_XOM_NOI" localSheetId="3">#REF!</definedName>
    <definedName name="THDT_HT_XOM_NOI">#REF!</definedName>
    <definedName name="THDT_NPP_XOM_NOI" localSheetId="5">#REF!</definedName>
    <definedName name="THDT_NPP_XOM_NOI" localSheetId="19">#REF!</definedName>
    <definedName name="THDT_NPP_XOM_NOI" localSheetId="3">#REF!</definedName>
    <definedName name="THDT_NPP_XOM_NOI">#REF!</definedName>
    <definedName name="THDT_TBA_XOM_NOI" localSheetId="5">#REF!</definedName>
    <definedName name="THDT_TBA_XOM_NOI" localSheetId="19">#REF!</definedName>
    <definedName name="THDT_TBA_XOM_NOI" localSheetId="3">#REF!</definedName>
    <definedName name="THDT_TBA_XOM_NOI">#REF!</definedName>
    <definedName name="thepban" localSheetId="5">#REF!</definedName>
    <definedName name="thepban" localSheetId="19">#REF!</definedName>
    <definedName name="thepban" localSheetId="3">#REF!</definedName>
    <definedName name="thepban">#REF!</definedName>
    <definedName name="thepgoc25_60" localSheetId="5">#REF!</definedName>
    <definedName name="thepgoc25_60" localSheetId="19">#REF!</definedName>
    <definedName name="thepgoc25_60" localSheetId="3">#REF!</definedName>
    <definedName name="thepgoc25_60">#REF!</definedName>
    <definedName name="thepgoc63_75" localSheetId="5">#REF!</definedName>
    <definedName name="thepgoc63_75" localSheetId="19">#REF!</definedName>
    <definedName name="thepgoc63_75" localSheetId="3">#REF!</definedName>
    <definedName name="thepgoc63_75">#REF!</definedName>
    <definedName name="thepgoc80_100" localSheetId="5">#REF!</definedName>
    <definedName name="thepgoc80_100" localSheetId="19">#REF!</definedName>
    <definedName name="thepgoc80_100" localSheetId="3">#REF!</definedName>
    <definedName name="thepgoc80_100">#REF!</definedName>
    <definedName name="thepma">10500</definedName>
    <definedName name="theptron12" localSheetId="5">#REF!</definedName>
    <definedName name="theptron12" localSheetId="19">#REF!</definedName>
    <definedName name="theptron12" localSheetId="3">#REF!</definedName>
    <definedName name="theptron12">#REF!</definedName>
    <definedName name="theptron14_22" localSheetId="5">#REF!</definedName>
    <definedName name="theptron14_22" localSheetId="19">#REF!</definedName>
    <definedName name="theptron14_22" localSheetId="3">#REF!</definedName>
    <definedName name="theptron14_22">#REF!</definedName>
    <definedName name="theptron6_8" localSheetId="5">#REF!</definedName>
    <definedName name="theptron6_8" localSheetId="19">#REF!</definedName>
    <definedName name="theptron6_8" localSheetId="3">#REF!</definedName>
    <definedName name="theptron6_8">#REF!</definedName>
    <definedName name="thetichck" localSheetId="5">#REF!</definedName>
    <definedName name="thetichck" localSheetId="19">#REF!</definedName>
    <definedName name="thetichck" localSheetId="3">#REF!</definedName>
    <definedName name="thetichck">#REF!</definedName>
    <definedName name="THGO1pnc" localSheetId="5">#REF!</definedName>
    <definedName name="THGO1pnc" localSheetId="19">#REF!</definedName>
    <definedName name="THGO1pnc" localSheetId="3">#REF!</definedName>
    <definedName name="THGO1pnc">#REF!</definedName>
    <definedName name="thht" localSheetId="5">#REF!</definedName>
    <definedName name="thht" localSheetId="19">#REF!</definedName>
    <definedName name="thht" localSheetId="3">#REF!</definedName>
    <definedName name="thht">#REF!</definedName>
    <definedName name="THI" localSheetId="5">#REF!</definedName>
    <definedName name="THI" localSheetId="19">#REF!</definedName>
    <definedName name="THI" localSheetId="3">#REF!</definedName>
    <definedName name="THI">#REF!</definedName>
    <definedName name="thkp3" localSheetId="5">#REF!</definedName>
    <definedName name="thkp3" localSheetId="19">#REF!</definedName>
    <definedName name="thkp3" localSheetId="3">#REF!</definedName>
    <definedName name="thkp3">#REF!</definedName>
    <definedName name="THOP">"THOP"</definedName>
    <definedName name="THT" localSheetId="5">#REF!</definedName>
    <definedName name="THT" localSheetId="19">#REF!</definedName>
    <definedName name="THT" localSheetId="3">#REF!</definedName>
    <definedName name="THT">#REF!</definedName>
    <definedName name="thtich1" localSheetId="5">#REF!</definedName>
    <definedName name="thtich1" localSheetId="19">#REF!</definedName>
    <definedName name="thtich1" localSheetId="3">#REF!</definedName>
    <definedName name="thtich1">#REF!</definedName>
    <definedName name="thtich2" localSheetId="5">#REF!</definedName>
    <definedName name="thtich2" localSheetId="19">#REF!</definedName>
    <definedName name="thtich2" localSheetId="3">#REF!</definedName>
    <definedName name="thtich2">#REF!</definedName>
    <definedName name="thtich3" localSheetId="5">#REF!</definedName>
    <definedName name="thtich3" localSheetId="19">#REF!</definedName>
    <definedName name="thtich3" localSheetId="3">#REF!</definedName>
    <definedName name="thtich3">#REF!</definedName>
    <definedName name="thtich4" localSheetId="5">#REF!</definedName>
    <definedName name="thtich4" localSheetId="19">#REF!</definedName>
    <definedName name="thtich4" localSheetId="3">#REF!</definedName>
    <definedName name="thtich4">#REF!</definedName>
    <definedName name="thtich5" localSheetId="5">#REF!</definedName>
    <definedName name="thtich5" localSheetId="19">#REF!</definedName>
    <definedName name="thtich5" localSheetId="3">#REF!</definedName>
    <definedName name="thtich5">#REF!</definedName>
    <definedName name="thtich6" localSheetId="5">#REF!</definedName>
    <definedName name="thtich6" localSheetId="19">#REF!</definedName>
    <definedName name="thtich6" localSheetId="3">#REF!</definedName>
    <definedName name="thtich6">#REF!</definedName>
    <definedName name="thtt" localSheetId="5">#REF!</definedName>
    <definedName name="thtt" localSheetId="19">#REF!</definedName>
    <definedName name="thtt" localSheetId="3">#REF!</definedName>
    <definedName name="thtt">#REF!</definedName>
    <definedName name="Tra_DM_su_dung" localSheetId="5">#REF!</definedName>
    <definedName name="Tra_DM_su_dung" localSheetId="19">#REF!</definedName>
    <definedName name="Tra_DM_su_dung" localSheetId="3">#REF!</definedName>
    <definedName name="Tra_DM_su_dung">#REF!</definedName>
    <definedName name="Tra_don_gia_KS" localSheetId="5">#REF!</definedName>
    <definedName name="Tra_don_gia_KS" localSheetId="19">#REF!</definedName>
    <definedName name="Tra_don_gia_KS" localSheetId="3">#REF!</definedName>
    <definedName name="Tra_don_gia_KS">#REF!</definedName>
    <definedName name="Tra_DTCT" localSheetId="5">#REF!</definedName>
    <definedName name="Tra_DTCT" localSheetId="19">#REF!</definedName>
    <definedName name="Tra_DTCT" localSheetId="3">#REF!</definedName>
    <definedName name="Tra_DTCT">#REF!</definedName>
    <definedName name="Tra_tim_hang_mucPT_trung" localSheetId="5">#REF!</definedName>
    <definedName name="Tra_tim_hang_mucPT_trung" localSheetId="19">#REF!</definedName>
    <definedName name="Tra_tim_hang_mucPT_trung" localSheetId="3">#REF!</definedName>
    <definedName name="Tra_tim_hang_mucPT_trung">#REF!</definedName>
    <definedName name="Tra_TL" localSheetId="5">#REF!</definedName>
    <definedName name="Tra_TL" localSheetId="19">#REF!</definedName>
    <definedName name="Tra_TL" localSheetId="3">#REF!</definedName>
    <definedName name="Tra_TL">#REF!</definedName>
    <definedName name="Tra_ty_le2" localSheetId="5">#REF!</definedName>
    <definedName name="Tra_ty_le2" localSheetId="19">#REF!</definedName>
    <definedName name="Tra_ty_le2" localSheetId="3">#REF!</definedName>
    <definedName name="Tra_ty_le2">#REF!</definedName>
    <definedName name="Tra_ty_le3" localSheetId="5">#REF!</definedName>
    <definedName name="Tra_ty_le3" localSheetId="19">#REF!</definedName>
    <definedName name="Tra_ty_le3" localSheetId="3">#REF!</definedName>
    <definedName name="Tra_ty_le3">#REF!</definedName>
    <definedName name="Tra_ty_le4" localSheetId="5">#REF!</definedName>
    <definedName name="Tra_ty_le4" localSheetId="19">#REF!</definedName>
    <definedName name="Tra_ty_le4" localSheetId="3">#REF!</definedName>
    <definedName name="Tra_ty_le4">#REF!</definedName>
    <definedName name="Tra_ty_le5" localSheetId="5">#REF!</definedName>
    <definedName name="Tra_ty_le5" localSheetId="19">#REF!</definedName>
    <definedName name="Tra_ty_le5" localSheetId="3">#REF!</definedName>
    <definedName name="Tra_ty_le5">#REF!</definedName>
    <definedName name="TRADE2" localSheetId="5">#REF!</definedName>
    <definedName name="TRADE2" localSheetId="19">#REF!</definedName>
    <definedName name="TRADE2" localSheetId="3">#REF!</definedName>
    <definedName name="TRADE2">#REF!</definedName>
    <definedName name="TRAM" localSheetId="5">#REF!</definedName>
    <definedName name="TRAM" localSheetId="19">#REF!</definedName>
    <definedName name="TRAM" localSheetId="3">#REF!</definedName>
    <definedName name="TRAM">#REF!</definedName>
    <definedName name="trt" localSheetId="5">#REF!</definedName>
    <definedName name="trt" localSheetId="19">#REF!</definedName>
    <definedName name="trt" localSheetId="3">#REF!</definedName>
    <definedName name="trt">#REF!</definedName>
    <definedName name="upnoc" localSheetId="5">#REF!</definedName>
    <definedName name="upnoc" localSheetId="19">#REF!</definedName>
    <definedName name="upnoc" localSheetId="3">#REF!</definedName>
    <definedName name="upnoc">#REF!</definedName>
    <definedName name="uu" localSheetId="5">#REF!</definedName>
    <definedName name="uu" localSheetId="19">#REF!</definedName>
    <definedName name="uu" localSheetId="3">#REF!</definedName>
    <definedName name="uu">#REF!</definedName>
    <definedName name="Value0" localSheetId="5">#REF!</definedName>
    <definedName name="Value0" localSheetId="19">#REF!</definedName>
    <definedName name="Value0" localSheetId="3">#REF!</definedName>
    <definedName name="Value0">#REF!</definedName>
    <definedName name="Value1" localSheetId="5">#REF!</definedName>
    <definedName name="Value1" localSheetId="19">#REF!</definedName>
    <definedName name="Value1" localSheetId="3">#REF!</definedName>
    <definedName name="Value1">#REF!</definedName>
    <definedName name="Value10" localSheetId="5">#REF!</definedName>
    <definedName name="Value10" localSheetId="19">#REF!</definedName>
    <definedName name="Value10" localSheetId="3">#REF!</definedName>
    <definedName name="Value10">#REF!</definedName>
    <definedName name="Value11" localSheetId="5">#REF!</definedName>
    <definedName name="Value11" localSheetId="19">#REF!</definedName>
    <definedName name="Value11" localSheetId="3">#REF!</definedName>
    <definedName name="Value11">#REF!</definedName>
    <definedName name="Value12" localSheetId="5">#REF!</definedName>
    <definedName name="Value12" localSheetId="19">#REF!</definedName>
    <definedName name="Value12" localSheetId="3">#REF!</definedName>
    <definedName name="Value12">#REF!</definedName>
    <definedName name="Value13" localSheetId="5">#REF!</definedName>
    <definedName name="Value13" localSheetId="19">#REF!</definedName>
    <definedName name="Value13" localSheetId="3">#REF!</definedName>
    <definedName name="Value13">#REF!</definedName>
    <definedName name="Value14" localSheetId="5">#REF!</definedName>
    <definedName name="Value14" localSheetId="19">#REF!</definedName>
    <definedName name="Value14" localSheetId="3">#REF!</definedName>
    <definedName name="Value14">#REF!</definedName>
    <definedName name="Value15" localSheetId="5">#REF!</definedName>
    <definedName name="Value15" localSheetId="19">#REF!</definedName>
    <definedName name="Value15" localSheetId="3">#REF!</definedName>
    <definedName name="Value15">#REF!</definedName>
    <definedName name="Value16" localSheetId="5">#REF!</definedName>
    <definedName name="Value16" localSheetId="19">#REF!</definedName>
    <definedName name="Value16" localSheetId="3">#REF!</definedName>
    <definedName name="Value16">#REF!</definedName>
    <definedName name="Value17" localSheetId="5">#REF!</definedName>
    <definedName name="Value17" localSheetId="19">#REF!</definedName>
    <definedName name="Value17" localSheetId="3">#REF!</definedName>
    <definedName name="Value17">#REF!</definedName>
    <definedName name="Value18" localSheetId="5">#REF!</definedName>
    <definedName name="Value18" localSheetId="19">#REF!</definedName>
    <definedName name="Value18" localSheetId="3">#REF!</definedName>
    <definedName name="Value18">#REF!</definedName>
    <definedName name="Value19" localSheetId="5">#REF!</definedName>
    <definedName name="Value19" localSheetId="19">#REF!</definedName>
    <definedName name="Value19" localSheetId="3">#REF!</definedName>
    <definedName name="Value19">#REF!</definedName>
    <definedName name="Value2" localSheetId="5">#REF!</definedName>
    <definedName name="Value2" localSheetId="19">#REF!</definedName>
    <definedName name="Value2" localSheetId="3">#REF!</definedName>
    <definedName name="Value2">#REF!</definedName>
    <definedName name="Value20" localSheetId="5">#REF!</definedName>
    <definedName name="Value20" localSheetId="19">#REF!</definedName>
    <definedName name="Value20" localSheetId="3">#REF!</definedName>
    <definedName name="Value20">#REF!</definedName>
    <definedName name="Value21" localSheetId="5">#REF!</definedName>
    <definedName name="Value21" localSheetId="19">#REF!</definedName>
    <definedName name="Value21" localSheetId="3">#REF!</definedName>
    <definedName name="Value21">#REF!</definedName>
    <definedName name="Value22" localSheetId="5">#REF!</definedName>
    <definedName name="Value22" localSheetId="19">#REF!</definedName>
    <definedName name="Value22" localSheetId="3">#REF!</definedName>
    <definedName name="Value22">#REF!</definedName>
    <definedName name="Value23" localSheetId="5">#REF!</definedName>
    <definedName name="Value23" localSheetId="19">#REF!</definedName>
    <definedName name="Value23" localSheetId="3">#REF!</definedName>
    <definedName name="Value23">#REF!</definedName>
    <definedName name="Value24" localSheetId="5">#REF!</definedName>
    <definedName name="Value24" localSheetId="19">#REF!</definedName>
    <definedName name="Value24" localSheetId="3">#REF!</definedName>
    <definedName name="Value24">#REF!</definedName>
    <definedName name="Value25" localSheetId="5">#REF!</definedName>
    <definedName name="Value25" localSheetId="19">#REF!</definedName>
    <definedName name="Value25" localSheetId="3">#REF!</definedName>
    <definedName name="Value25">#REF!</definedName>
    <definedName name="Value26" localSheetId="5">#REF!</definedName>
    <definedName name="Value26" localSheetId="19">#REF!</definedName>
    <definedName name="Value26" localSheetId="3">#REF!</definedName>
    <definedName name="Value26">#REF!</definedName>
    <definedName name="Value27" localSheetId="5">#REF!</definedName>
    <definedName name="Value27" localSheetId="19">#REF!</definedName>
    <definedName name="Value27" localSheetId="3">#REF!</definedName>
    <definedName name="Value27">#REF!</definedName>
    <definedName name="Value28" localSheetId="5">#REF!</definedName>
    <definedName name="Value28" localSheetId="19">#REF!</definedName>
    <definedName name="Value28" localSheetId="3">#REF!</definedName>
    <definedName name="Value28">#REF!</definedName>
    <definedName name="Value29" localSheetId="5">#REF!</definedName>
    <definedName name="Value29" localSheetId="19">#REF!</definedName>
    <definedName name="Value29" localSheetId="3">#REF!</definedName>
    <definedName name="Value29">#REF!</definedName>
    <definedName name="Value3" localSheetId="5">#REF!</definedName>
    <definedName name="Value3" localSheetId="19">#REF!</definedName>
    <definedName name="Value3" localSheetId="3">#REF!</definedName>
    <definedName name="Value3">#REF!</definedName>
    <definedName name="Value30" localSheetId="5">#REF!</definedName>
    <definedName name="Value30" localSheetId="19">#REF!</definedName>
    <definedName name="Value30" localSheetId="3">#REF!</definedName>
    <definedName name="Value30">#REF!</definedName>
    <definedName name="Value31" localSheetId="5">#REF!</definedName>
    <definedName name="Value31" localSheetId="19">#REF!</definedName>
    <definedName name="Value31" localSheetId="3">#REF!</definedName>
    <definedName name="Value31">#REF!</definedName>
    <definedName name="Value32" localSheetId="5">#REF!</definedName>
    <definedName name="Value32" localSheetId="19">#REF!</definedName>
    <definedName name="Value32" localSheetId="3">#REF!</definedName>
    <definedName name="Value32">#REF!</definedName>
    <definedName name="Value33" localSheetId="5">#REF!</definedName>
    <definedName name="Value33" localSheetId="19">#REF!</definedName>
    <definedName name="Value33" localSheetId="3">#REF!</definedName>
    <definedName name="Value33">#REF!</definedName>
    <definedName name="Value34" localSheetId="5">#REF!</definedName>
    <definedName name="Value34" localSheetId="19">#REF!</definedName>
    <definedName name="Value34" localSheetId="3">#REF!</definedName>
    <definedName name="Value34">#REF!</definedName>
    <definedName name="Value35" localSheetId="5">#REF!</definedName>
    <definedName name="Value35" localSheetId="19">#REF!</definedName>
    <definedName name="Value35" localSheetId="3">#REF!</definedName>
    <definedName name="Value35">#REF!</definedName>
    <definedName name="Value36" localSheetId="5">#REF!</definedName>
    <definedName name="Value36" localSheetId="19">#REF!</definedName>
    <definedName name="Value36" localSheetId="3">#REF!</definedName>
    <definedName name="Value36">#REF!</definedName>
    <definedName name="Value37" localSheetId="5">#REF!</definedName>
    <definedName name="Value37" localSheetId="19">#REF!</definedName>
    <definedName name="Value37" localSheetId="3">#REF!</definedName>
    <definedName name="Value37">#REF!</definedName>
    <definedName name="Value38" localSheetId="5">#REF!</definedName>
    <definedName name="Value38" localSheetId="19">#REF!</definedName>
    <definedName name="Value38" localSheetId="3">#REF!</definedName>
    <definedName name="Value38">#REF!</definedName>
    <definedName name="Value39" localSheetId="5">#REF!</definedName>
    <definedName name="Value39" localSheetId="19">#REF!</definedName>
    <definedName name="Value39" localSheetId="3">#REF!</definedName>
    <definedName name="Value39">#REF!</definedName>
    <definedName name="Value4" localSheetId="5">#REF!</definedName>
    <definedName name="Value4" localSheetId="19">#REF!</definedName>
    <definedName name="Value4" localSheetId="3">#REF!</definedName>
    <definedName name="Value4">#REF!</definedName>
    <definedName name="Value40" localSheetId="5">#REF!</definedName>
    <definedName name="Value40" localSheetId="19">#REF!</definedName>
    <definedName name="Value40" localSheetId="3">#REF!</definedName>
    <definedName name="Value40">#REF!</definedName>
    <definedName name="Value41" localSheetId="5">#REF!</definedName>
    <definedName name="Value41" localSheetId="19">#REF!</definedName>
    <definedName name="Value41" localSheetId="3">#REF!</definedName>
    <definedName name="Value41">#REF!</definedName>
    <definedName name="Value42" localSheetId="5">#REF!</definedName>
    <definedName name="Value42" localSheetId="19">#REF!</definedName>
    <definedName name="Value42" localSheetId="3">#REF!</definedName>
    <definedName name="Value42">#REF!</definedName>
    <definedName name="Value43" localSheetId="5">#REF!</definedName>
    <definedName name="Value43" localSheetId="19">#REF!</definedName>
    <definedName name="Value43" localSheetId="3">#REF!</definedName>
    <definedName name="Value43">#REF!</definedName>
    <definedName name="Value44" localSheetId="5">#REF!</definedName>
    <definedName name="Value44" localSheetId="19">#REF!</definedName>
    <definedName name="Value44" localSheetId="3">#REF!</definedName>
    <definedName name="Value44">#REF!</definedName>
    <definedName name="Value45" localSheetId="5">#REF!</definedName>
    <definedName name="Value45" localSheetId="19">#REF!</definedName>
    <definedName name="Value45" localSheetId="3">#REF!</definedName>
    <definedName name="Value45">#REF!</definedName>
    <definedName name="Value46" localSheetId="5">#REF!</definedName>
    <definedName name="Value46" localSheetId="19">#REF!</definedName>
    <definedName name="Value46" localSheetId="3">#REF!</definedName>
    <definedName name="Value46">#REF!</definedName>
    <definedName name="Value47" localSheetId="5">#REF!</definedName>
    <definedName name="Value47" localSheetId="19">#REF!</definedName>
    <definedName name="Value47" localSheetId="3">#REF!</definedName>
    <definedName name="Value47">#REF!</definedName>
    <definedName name="Value48" localSheetId="5">#REF!</definedName>
    <definedName name="Value48" localSheetId="19">#REF!</definedName>
    <definedName name="Value48" localSheetId="3">#REF!</definedName>
    <definedName name="Value48">#REF!</definedName>
    <definedName name="Value49" localSheetId="5">#REF!</definedName>
    <definedName name="Value49" localSheetId="19">#REF!</definedName>
    <definedName name="Value49" localSheetId="3">#REF!</definedName>
    <definedName name="Value49">#REF!</definedName>
    <definedName name="Value5" localSheetId="5">#REF!</definedName>
    <definedName name="Value5" localSheetId="19">#REF!</definedName>
    <definedName name="Value5" localSheetId="3">#REF!</definedName>
    <definedName name="Value5">#REF!</definedName>
    <definedName name="Value50" localSheetId="5">#REF!</definedName>
    <definedName name="Value50" localSheetId="19">#REF!</definedName>
    <definedName name="Value50" localSheetId="3">#REF!</definedName>
    <definedName name="Value50">#REF!</definedName>
    <definedName name="Value51" localSheetId="5">#REF!</definedName>
    <definedName name="Value51" localSheetId="19">#REF!</definedName>
    <definedName name="Value51" localSheetId="3">#REF!</definedName>
    <definedName name="Value51">#REF!</definedName>
    <definedName name="Value52" localSheetId="5">#REF!</definedName>
    <definedName name="Value52" localSheetId="19">#REF!</definedName>
    <definedName name="Value52" localSheetId="3">#REF!</definedName>
    <definedName name="Value52">#REF!</definedName>
    <definedName name="Value53" localSheetId="5">#REF!</definedName>
    <definedName name="Value53" localSheetId="19">#REF!</definedName>
    <definedName name="Value53" localSheetId="3">#REF!</definedName>
    <definedName name="Value53">#REF!</definedName>
    <definedName name="Value54" localSheetId="5">#REF!</definedName>
    <definedName name="Value54" localSheetId="19">#REF!</definedName>
    <definedName name="Value54" localSheetId="3">#REF!</definedName>
    <definedName name="Value54">#REF!</definedName>
    <definedName name="Value55" localSheetId="5">#REF!</definedName>
    <definedName name="Value55" localSheetId="19">#REF!</definedName>
    <definedName name="Value55" localSheetId="3">#REF!</definedName>
    <definedName name="Value55">#REF!</definedName>
    <definedName name="Value6" localSheetId="5">#REF!</definedName>
    <definedName name="Value6" localSheetId="19">#REF!</definedName>
    <definedName name="Value6" localSheetId="3">#REF!</definedName>
    <definedName name="Value6">#REF!</definedName>
    <definedName name="Value7" localSheetId="5">#REF!</definedName>
    <definedName name="Value7" localSheetId="19">#REF!</definedName>
    <definedName name="Value7" localSheetId="3">#REF!</definedName>
    <definedName name="Value7">#REF!</definedName>
    <definedName name="Value8" localSheetId="5">#REF!</definedName>
    <definedName name="Value8" localSheetId="19">#REF!</definedName>
    <definedName name="Value8" localSheetId="3">#REF!</definedName>
    <definedName name="Value8">#REF!</definedName>
    <definedName name="Value9" localSheetId="5">#REF!</definedName>
    <definedName name="Value9" localSheetId="19">#REF!</definedName>
    <definedName name="Value9" localSheetId="3">#REF!</definedName>
    <definedName name="Value9">#REF!</definedName>
    <definedName name="VAN_CHUYEN_DUONG_DAI_DZ0.4KV" localSheetId="5">#REF!</definedName>
    <definedName name="VAN_CHUYEN_DUONG_DAI_DZ0.4KV" localSheetId="19">#REF!</definedName>
    <definedName name="VAN_CHUYEN_DUONG_DAI_DZ0.4KV" localSheetId="3">#REF!</definedName>
    <definedName name="VAN_CHUYEN_DUONG_DAI_DZ0.4KV">#REF!</definedName>
    <definedName name="VAN_CHUYEN_DUONG_DAI_DZ22KV" localSheetId="5">#REF!</definedName>
    <definedName name="VAN_CHUYEN_DUONG_DAI_DZ22KV" localSheetId="19">#REF!</definedName>
    <definedName name="VAN_CHUYEN_DUONG_DAI_DZ22KV" localSheetId="3">#REF!</definedName>
    <definedName name="VAN_CHUYEN_DUONG_DAI_DZ22KV">#REF!</definedName>
    <definedName name="VAN_CHUYEN_VAT_TU_CHUNG" localSheetId="5">#REF!</definedName>
    <definedName name="VAN_CHUYEN_VAT_TU_CHUNG" localSheetId="19">#REF!</definedName>
    <definedName name="VAN_CHUYEN_VAT_TU_CHUNG" localSheetId="3">#REF!</definedName>
    <definedName name="VAN_CHUYEN_VAT_TU_CHUNG">#REF!</definedName>
    <definedName name="VAN_TRUNG_CHUYEN_VAT_TU_CHUNG" localSheetId="5">#REF!</definedName>
    <definedName name="VAN_TRUNG_CHUYEN_VAT_TU_CHUNG" localSheetId="19">#REF!</definedName>
    <definedName name="VAN_TRUNG_CHUYEN_VAT_TU_CHUNG" localSheetId="3">#REF!</definedName>
    <definedName name="VAN_TRUNG_CHUYEN_VAT_TU_CHUNG">#REF!</definedName>
    <definedName name="VARIINST" localSheetId="5">#REF!</definedName>
    <definedName name="VARIINST" localSheetId="19">#REF!</definedName>
    <definedName name="VARIINST" localSheetId="3">#REF!</definedName>
    <definedName name="VARIINST">#REF!</definedName>
    <definedName name="VARIPURC" localSheetId="5">#REF!</definedName>
    <definedName name="VARIPURC" localSheetId="19">#REF!</definedName>
    <definedName name="VARIPURC" localSheetId="3">#REF!</definedName>
    <definedName name="VARIPURC">#REF!</definedName>
    <definedName name="vat" localSheetId="5">#REF!</definedName>
    <definedName name="vat" localSheetId="19">#REF!</definedName>
    <definedName name="vat" localSheetId="3">#REF!</definedName>
    <definedName name="vat">#REF!</definedName>
    <definedName name="VAT_LIEU_DEN_CHAN_CONG_TRINH" localSheetId="5">#REF!</definedName>
    <definedName name="VAT_LIEU_DEN_CHAN_CONG_TRINH" localSheetId="19">#REF!</definedName>
    <definedName name="VAT_LIEU_DEN_CHAN_CONG_TRINH" localSheetId="3">#REF!</definedName>
    <definedName name="VAT_LIEU_DEN_CHAN_CONG_TRINH">#REF!</definedName>
    <definedName name="VATM" localSheetId="5" hidden="1">{"'Sheet1'!$L$16"}</definedName>
    <definedName name="VATM" localSheetId="13" hidden="1">{"'Sheet1'!$L$16"}</definedName>
    <definedName name="VATM" hidden="1">{"'Sheet1'!$L$16"}</definedName>
    <definedName name="vbc" localSheetId="5" hidden="1">{#N/A,#N/A,FALSE,"Chi tiÆt"}</definedName>
    <definedName name="vbc" localSheetId="13" hidden="1">{#N/A,#N/A,FALSE,"Chi tiÆt"}</definedName>
    <definedName name="vbc" hidden="1">{#N/A,#N/A,FALSE,"Chi tiÆt"}</definedName>
    <definedName name="vbcb" localSheetId="5" hidden="1">{"'Sheet1'!$L$16"}</definedName>
    <definedName name="vbcb" localSheetId="13" hidden="1">{"'Sheet1'!$L$16"}</definedName>
    <definedName name="vbcb" hidden="1">{"'Sheet1'!$L$16"}</definedName>
    <definedName name="vbcxbv" localSheetId="5" hidden="1">{"'Sheet1'!$L$16"}</definedName>
    <definedName name="vbcxbv" localSheetId="13" hidden="1">{"'Sheet1'!$L$16"}</definedName>
    <definedName name="vbcxbv" hidden="1">{"'Sheet1'!$L$16"}</definedName>
    <definedName name="vbtchongnuocm300" localSheetId="5">#REF!</definedName>
    <definedName name="vbtchongnuocm300" localSheetId="19">#REF!</definedName>
    <definedName name="vbtchongnuocm300" localSheetId="3">#REF!</definedName>
    <definedName name="vbtchongnuocm300">#REF!</definedName>
    <definedName name="vbtm150" localSheetId="5">#REF!</definedName>
    <definedName name="vbtm150" localSheetId="19">#REF!</definedName>
    <definedName name="vbtm150" localSheetId="3">#REF!</definedName>
    <definedName name="vbtm150">#REF!</definedName>
    <definedName name="vbtm300" localSheetId="5">#REF!</definedName>
    <definedName name="vbtm300" localSheetId="19">#REF!</definedName>
    <definedName name="vbtm300" localSheetId="3">#REF!</definedName>
    <definedName name="vbtm300">#REF!</definedName>
    <definedName name="vbtm400" localSheetId="5">#REF!</definedName>
    <definedName name="vbtm400" localSheetId="19">#REF!</definedName>
    <definedName name="vbtm400" localSheetId="3">#REF!</definedName>
    <definedName name="vbtm400">#REF!</definedName>
    <definedName name="vccot" localSheetId="5">#REF!</definedName>
    <definedName name="vccot" localSheetId="19">#REF!</definedName>
    <definedName name="vccot" localSheetId="3">#REF!</definedName>
    <definedName name="vccot">#REF!</definedName>
    <definedName name="vcdc" localSheetId="5">#REF!</definedName>
    <definedName name="vcdc" localSheetId="19">#REF!</definedName>
    <definedName name="vcdc" localSheetId="3">#REF!</definedName>
    <definedName name="vcdc">#REF!</definedName>
    <definedName name="vcoto" localSheetId="5" hidden="1">{"'Sheet1'!$L$16"}</definedName>
    <definedName name="vcoto" localSheetId="13" hidden="1">{"'Sheet1'!$L$16"}</definedName>
    <definedName name="vcoto" hidden="1">{"'Sheet1'!$L$16"}</definedName>
    <definedName name="vct" localSheetId="5">#REF!</definedName>
    <definedName name="vct" localSheetId="19">#REF!</definedName>
    <definedName name="vct" localSheetId="3">#REF!</definedName>
    <definedName name="vct">#REF!</definedName>
    <definedName name="VCTT" localSheetId="5">#REF!</definedName>
    <definedName name="VCTT" localSheetId="19">#REF!</definedName>
    <definedName name="VCTT" localSheetId="3">#REF!</definedName>
    <definedName name="VCTT">#REF!</definedName>
    <definedName name="VCVBT1" localSheetId="5">#REF!</definedName>
    <definedName name="VCVBT1" localSheetId="19">#REF!</definedName>
    <definedName name="VCVBT1" localSheetId="3">#REF!</definedName>
    <definedName name="VCVBT1">#REF!</definedName>
    <definedName name="VCVBT2" localSheetId="5">#REF!</definedName>
    <definedName name="VCVBT2" localSheetId="19">#REF!</definedName>
    <definedName name="VCVBT2" localSheetId="3">#REF!</definedName>
    <definedName name="VCVBT2">#REF!</definedName>
    <definedName name="vcxbvcx" localSheetId="5" hidden="1">{"'Sheet1'!$L$16"}</definedName>
    <definedName name="vcxbvcx" localSheetId="13" hidden="1">{"'Sheet1'!$L$16"}</definedName>
    <definedName name="vcxbvcx" hidden="1">{"'Sheet1'!$L$16"}</definedName>
    <definedName name="VCHT" localSheetId="5">#REF!</definedName>
    <definedName name="VCHT" localSheetId="19">#REF!</definedName>
    <definedName name="VCHT" localSheetId="3">#REF!</definedName>
    <definedName name="VCHT">#REF!</definedName>
    <definedName name="vd3p" localSheetId="5">#REF!</definedName>
    <definedName name="vd3p" localSheetId="19">#REF!</definedName>
    <definedName name="vd3p" localSheetId="3">#REF!</definedName>
    <definedName name="vd3p">#REF!</definedName>
    <definedName name="vgk" localSheetId="5">#REF!</definedName>
    <definedName name="vgk" localSheetId="19">#REF!</definedName>
    <definedName name="vgk" localSheetId="3">#REF!</definedName>
    <definedName name="vgk">#REF!</definedName>
    <definedName name="vgt" localSheetId="5">#REF!</definedName>
    <definedName name="vgt" localSheetId="19">#REF!</definedName>
    <definedName name="vgt" localSheetId="3">#REF!</definedName>
    <definedName name="vgt">#REF!</definedName>
    <definedName name="VH" localSheetId="5" hidden="1">{"'Sheet1'!$L$16"}</definedName>
    <definedName name="VH" localSheetId="13" hidden="1">{"'Sheet1'!$L$16"}</definedName>
    <definedName name="VH" hidden="1">{"'Sheet1'!$L$16"}</definedName>
    <definedName name="Viet" localSheetId="5" hidden="1">{"'Sheet1'!$L$16"}</definedName>
    <definedName name="Viet" localSheetId="13" hidden="1">{"'Sheet1'!$L$16"}</definedName>
    <definedName name="Viet" hidden="1">{"'Sheet1'!$L$16"}</definedName>
    <definedName name="vkcauthang" localSheetId="5">#REF!</definedName>
    <definedName name="vkcauthang" localSheetId="19">#REF!</definedName>
    <definedName name="vkcauthang" localSheetId="3">#REF!</definedName>
    <definedName name="vkcauthang">#REF!</definedName>
    <definedName name="vksan" localSheetId="5">#REF!</definedName>
    <definedName name="vksan" localSheetId="19">#REF!</definedName>
    <definedName name="vksan" localSheetId="3">#REF!</definedName>
    <definedName name="vksan">#REF!</definedName>
    <definedName name="vl" localSheetId="5">#REF!</definedName>
    <definedName name="vl" localSheetId="19">#REF!</definedName>
    <definedName name="vl" localSheetId="3">#REF!</definedName>
    <definedName name="vl">#REF!</definedName>
    <definedName name="vl3p" localSheetId="5">#REF!</definedName>
    <definedName name="vl3p" localSheetId="19">#REF!</definedName>
    <definedName name="vl3p" localSheetId="3">#REF!</definedName>
    <definedName name="vl3p">#REF!</definedName>
    <definedName name="vlct" localSheetId="5" hidden="1">{"'Sheet1'!$L$16"}</definedName>
    <definedName name="vlct" localSheetId="13" hidden="1">{"'Sheet1'!$L$16"}</definedName>
    <definedName name="vlct" hidden="1">{"'Sheet1'!$L$16"}</definedName>
    <definedName name="VLCT3p" localSheetId="5">#REF!</definedName>
    <definedName name="VLCT3p" localSheetId="19">#REF!</definedName>
    <definedName name="VLCT3p" localSheetId="3">#REF!</definedName>
    <definedName name="VLCT3p">#REF!</definedName>
    <definedName name="vldg" localSheetId="5">#REF!</definedName>
    <definedName name="vldg" localSheetId="19">#REF!</definedName>
    <definedName name="vldg" localSheetId="3">#REF!</definedName>
    <definedName name="vldg">#REF!</definedName>
    <definedName name="vldn400" localSheetId="5">#REF!</definedName>
    <definedName name="vldn400" localSheetId="19">#REF!</definedName>
    <definedName name="vldn400" localSheetId="3">#REF!</definedName>
    <definedName name="vldn400">#REF!</definedName>
    <definedName name="vldn600" localSheetId="5">#REF!</definedName>
    <definedName name="vldn600" localSheetId="19">#REF!</definedName>
    <definedName name="vldn600" localSheetId="3">#REF!</definedName>
    <definedName name="vldn600">#REF!</definedName>
    <definedName name="VLIEU" localSheetId="5">#REF!</definedName>
    <definedName name="VLIEU" localSheetId="19">#REF!</definedName>
    <definedName name="VLIEU" localSheetId="3">#REF!</definedName>
    <definedName name="VLIEU">#REF!</definedName>
    <definedName name="VLM" localSheetId="5">#REF!</definedName>
    <definedName name="VLM" localSheetId="19">#REF!</definedName>
    <definedName name="VLM" localSheetId="3">#REF!</definedName>
    <definedName name="VLM">#REF!</definedName>
    <definedName name="vltram" localSheetId="5">#REF!</definedName>
    <definedName name="vltram" localSheetId="19">#REF!</definedName>
    <definedName name="vltram" localSheetId="3">#REF!</definedName>
    <definedName name="vltram">#REF!</definedName>
    <definedName name="vr3p" localSheetId="5">#REF!</definedName>
    <definedName name="vr3p" localSheetId="19">#REF!</definedName>
    <definedName name="vr3p" localSheetId="3">#REF!</definedName>
    <definedName name="vr3p">#REF!</definedName>
    <definedName name="W" localSheetId="5">#REF!</definedName>
    <definedName name="W" localSheetId="19">#REF!</definedName>
    <definedName name="W" localSheetId="3">#REF!</definedName>
    <definedName name="W">#REF!</definedName>
    <definedName name="wrn.aaa." localSheetId="5" hidden="1">{#N/A,#N/A,FALSE,"Sheet1";#N/A,#N/A,FALSE,"Sheet1";#N/A,#N/A,FALSE,"Sheet1"}</definedName>
    <definedName name="wrn.aaa." localSheetId="13" hidden="1">{#N/A,#N/A,FALSE,"Sheet1";#N/A,#N/A,FALSE,"Sheet1";#N/A,#N/A,FALSE,"Sheet1"}</definedName>
    <definedName name="wrn.aaa." hidden="1">{#N/A,#N/A,FALSE,"Sheet1";#N/A,#N/A,FALSE,"Sheet1";#N/A,#N/A,FALSE,"Sheet1"}</definedName>
    <definedName name="wrn.aaa.1" localSheetId="5" hidden="1">{#N/A,#N/A,FALSE,"Sheet1";#N/A,#N/A,FALSE,"Sheet1";#N/A,#N/A,FALSE,"Sheet1"}</definedName>
    <definedName name="wrn.aaa.1" localSheetId="13" hidden="1">{#N/A,#N/A,FALSE,"Sheet1";#N/A,#N/A,FALSE,"Sheet1";#N/A,#N/A,FALSE,"Sheet1"}</definedName>
    <definedName name="wrn.aaa.1" hidden="1">{#N/A,#N/A,FALSE,"Sheet1";#N/A,#N/A,FALSE,"Sheet1";#N/A,#N/A,FALSE,"Sheet1"}</definedName>
    <definedName name="wrn.cong." localSheetId="5" hidden="1">{#N/A,#N/A,FALSE,"Sheet1"}</definedName>
    <definedName name="wrn.cong." localSheetId="13" hidden="1">{#N/A,#N/A,FALSE,"Sheet1"}</definedName>
    <definedName name="wrn.cong." hidden="1">{#N/A,#N/A,FALSE,"Sheet1"}</definedName>
    <definedName name="wrn.chi._.tiÆt." localSheetId="5" hidden="1">{#N/A,#N/A,FALSE,"Chi tiÆt"}</definedName>
    <definedName name="wrn.chi._.tiÆt." localSheetId="13" hidden="1">{#N/A,#N/A,FALSE,"Chi tiÆt"}</definedName>
    <definedName name="wrn.chi._.tiÆt." hidden="1">{#N/A,#N/A,FALSE,"Chi tiÆt"}</definedName>
    <definedName name="wrn.Report." localSheetId="5" hidden="1">{"Offgrid",#N/A,FALSE,"OFFGRID";"Region",#N/A,FALSE,"REGION";"Offgrid -2",#N/A,FALSE,"OFFGRID";"WTP",#N/A,FALSE,"WTP";"WTP -2",#N/A,FALSE,"WTP";"Project",#N/A,FALSE,"PROJECT";"Summary -2",#N/A,FALSE,"SUMMARY"}</definedName>
    <definedName name="wrn.Report." localSheetId="13"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5" hidden="1">{#N/A,#N/A,TRUE,"BT M200 da 10x20"}</definedName>
    <definedName name="wrn.vd." localSheetId="13" hidden="1">{#N/A,#N/A,TRUE,"BT M200 da 10x20"}</definedName>
    <definedName name="wrn.vd." hidden="1">{#N/A,#N/A,TRUE,"BT M200 da 10x20"}</definedName>
    <definedName name="wrnf.report" localSheetId="5" hidden="1">{"Offgrid",#N/A,FALSE,"OFFGRID";"Region",#N/A,FALSE,"REGION";"Offgrid -2",#N/A,FALSE,"OFFGRID";"WTP",#N/A,FALSE,"WTP";"WTP -2",#N/A,FALSE,"WTP";"Project",#N/A,FALSE,"PROJECT";"Summary -2",#N/A,FALSE,"SUMMARY"}</definedName>
    <definedName name="wrnf.report" localSheetId="13"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dsf" localSheetId="5" hidden="1">#REF!</definedName>
    <definedName name="wsdsf" localSheetId="13" hidden="1">#REF!</definedName>
    <definedName name="wsdsf" localSheetId="19" hidden="1">#REF!</definedName>
    <definedName name="wsdsf" localSheetId="8" hidden="1">#REF!</definedName>
    <definedName name="wsdsf" localSheetId="6" hidden="1">#REF!</definedName>
    <definedName name="wsdsf" localSheetId="11" hidden="1">#REF!</definedName>
    <definedName name="wsdsf" localSheetId="0" hidden="1">#REF!</definedName>
    <definedName name="wsdsf" localSheetId="15" hidden="1">#REF!</definedName>
    <definedName name="wsdsf" localSheetId="2" hidden="1">#REF!</definedName>
    <definedName name="wsdsf" localSheetId="7" hidden="1">#REF!</definedName>
    <definedName name="wsdsf" localSheetId="3" hidden="1">#REF!</definedName>
    <definedName name="wsdsf" hidden="1">#REF!</definedName>
    <definedName name="x1pind" localSheetId="5">#REF!</definedName>
    <definedName name="x1pind" localSheetId="19">#REF!</definedName>
    <definedName name="x1pind" localSheetId="3">#REF!</definedName>
    <definedName name="x1pind">#REF!</definedName>
    <definedName name="X1pINDnc" localSheetId="5">#REF!</definedName>
    <definedName name="X1pINDnc" localSheetId="19">#REF!</definedName>
    <definedName name="X1pINDnc" localSheetId="3">#REF!</definedName>
    <definedName name="X1pINDnc">#REF!</definedName>
    <definedName name="X1pINDvc" localSheetId="5">#REF!</definedName>
    <definedName name="X1pINDvc" localSheetId="19">#REF!</definedName>
    <definedName name="X1pINDvc" localSheetId="3">#REF!</definedName>
    <definedName name="X1pINDvc">#REF!</definedName>
    <definedName name="X1pINDvl" localSheetId="5">#REF!</definedName>
    <definedName name="X1pINDvl" localSheetId="19">#REF!</definedName>
    <definedName name="X1pINDvl" localSheetId="3">#REF!</definedName>
    <definedName name="X1pINDvl">#REF!</definedName>
    <definedName name="x1pint" localSheetId="5">#REF!</definedName>
    <definedName name="x1pint" localSheetId="19">#REF!</definedName>
    <definedName name="x1pint" localSheetId="3">#REF!</definedName>
    <definedName name="x1pint">#REF!</definedName>
    <definedName name="x1ping" localSheetId="5">#REF!</definedName>
    <definedName name="x1ping" localSheetId="19">#REF!</definedName>
    <definedName name="x1ping" localSheetId="3">#REF!</definedName>
    <definedName name="x1ping">#REF!</definedName>
    <definedName name="X1pINGnc" localSheetId="5">#REF!</definedName>
    <definedName name="X1pINGnc" localSheetId="19">#REF!</definedName>
    <definedName name="X1pINGnc" localSheetId="3">#REF!</definedName>
    <definedName name="X1pINGnc">#REF!</definedName>
    <definedName name="X1pINGvc" localSheetId="5">#REF!</definedName>
    <definedName name="X1pINGvc" localSheetId="19">#REF!</definedName>
    <definedName name="X1pINGvc" localSheetId="3">#REF!</definedName>
    <definedName name="X1pINGvc">#REF!</definedName>
    <definedName name="X1pINGvl" localSheetId="5">#REF!</definedName>
    <definedName name="X1pINGvl" localSheetId="19">#REF!</definedName>
    <definedName name="X1pINGvl" localSheetId="3">#REF!</definedName>
    <definedName name="X1pINGvl">#REF!</definedName>
    <definedName name="XCCT">0.5</definedName>
    <definedName name="xd0.6" localSheetId="5">#REF!</definedName>
    <definedName name="xd0.6" localSheetId="19">#REF!</definedName>
    <definedName name="xd0.6" localSheetId="3">#REF!</definedName>
    <definedName name="xd0.6">#REF!</definedName>
    <definedName name="xd1.3" localSheetId="5">#REF!</definedName>
    <definedName name="xd1.3" localSheetId="19">#REF!</definedName>
    <definedName name="xd1.3" localSheetId="3">#REF!</definedName>
    <definedName name="xd1.3">#REF!</definedName>
    <definedName name="xd1.5" localSheetId="5">#REF!</definedName>
    <definedName name="xd1.5" localSheetId="19">#REF!</definedName>
    <definedName name="xd1.5" localSheetId="3">#REF!</definedName>
    <definedName name="xd1.5">#REF!</definedName>
    <definedName name="xfco" localSheetId="5">#REF!</definedName>
    <definedName name="xfco" localSheetId="19">#REF!</definedName>
    <definedName name="xfco" localSheetId="3">#REF!</definedName>
    <definedName name="xfco">#REF!</definedName>
    <definedName name="xfco3p" localSheetId="5">#REF!</definedName>
    <definedName name="xfco3p" localSheetId="19">#REF!</definedName>
    <definedName name="xfco3p" localSheetId="3">#REF!</definedName>
    <definedName name="xfco3p">#REF!</definedName>
    <definedName name="XFCOnc" localSheetId="5">#REF!</definedName>
    <definedName name="XFCOnc" localSheetId="19">#REF!</definedName>
    <definedName name="XFCOnc" localSheetId="3">#REF!</definedName>
    <definedName name="XFCOnc">#REF!</definedName>
    <definedName name="xfcotnc" localSheetId="5">#REF!</definedName>
    <definedName name="xfcotnc" localSheetId="19">#REF!</definedName>
    <definedName name="xfcotnc" localSheetId="3">#REF!</definedName>
    <definedName name="xfcotnc">#REF!</definedName>
    <definedName name="xfcotvl" localSheetId="5">#REF!</definedName>
    <definedName name="xfcotvl" localSheetId="19">#REF!</definedName>
    <definedName name="xfcotvl" localSheetId="3">#REF!</definedName>
    <definedName name="xfcotvl">#REF!</definedName>
    <definedName name="XFCOvl" localSheetId="5">#REF!</definedName>
    <definedName name="XFCOvl" localSheetId="19">#REF!</definedName>
    <definedName name="XFCOvl" localSheetId="3">#REF!</definedName>
    <definedName name="XFCOvl">#REF!</definedName>
    <definedName name="xgc100" localSheetId="5">#REF!</definedName>
    <definedName name="xgc100" localSheetId="19">#REF!</definedName>
    <definedName name="xgc100" localSheetId="3">#REF!</definedName>
    <definedName name="xgc100">#REF!</definedName>
    <definedName name="xgc150" localSheetId="5">#REF!</definedName>
    <definedName name="xgc150" localSheetId="19">#REF!</definedName>
    <definedName name="xgc150" localSheetId="3">#REF!</definedName>
    <definedName name="xgc150">#REF!</definedName>
    <definedName name="xgc200" localSheetId="5">#REF!</definedName>
    <definedName name="xgc200" localSheetId="19">#REF!</definedName>
    <definedName name="xgc200" localSheetId="3">#REF!</definedName>
    <definedName name="xgc200">#REF!</definedName>
    <definedName name="xh" localSheetId="5">#REF!</definedName>
    <definedName name="xh" localSheetId="19">#REF!</definedName>
    <definedName name="xh" localSheetId="3">#REF!</definedName>
    <definedName name="xh">#REF!</definedName>
    <definedName name="xhn" localSheetId="5">#REF!</definedName>
    <definedName name="xhn" localSheetId="19">#REF!</definedName>
    <definedName name="xhn" localSheetId="3">#REF!</definedName>
    <definedName name="xhn">#REF!</definedName>
    <definedName name="xig" localSheetId="5">#REF!</definedName>
    <definedName name="xig" localSheetId="19">#REF!</definedName>
    <definedName name="xig" localSheetId="3">#REF!</definedName>
    <definedName name="xig">#REF!</definedName>
    <definedName name="xig1" localSheetId="5">#REF!</definedName>
    <definedName name="xig1" localSheetId="19">#REF!</definedName>
    <definedName name="xig1" localSheetId="3">#REF!</definedName>
    <definedName name="xig1">#REF!</definedName>
    <definedName name="xig1p" localSheetId="5">#REF!</definedName>
    <definedName name="xig1p" localSheetId="19">#REF!</definedName>
    <definedName name="xig1p" localSheetId="3">#REF!</definedName>
    <definedName name="xig1p">#REF!</definedName>
    <definedName name="xig3p" localSheetId="5">#REF!</definedName>
    <definedName name="xig3p" localSheetId="19">#REF!</definedName>
    <definedName name="xig3p" localSheetId="3">#REF!</definedName>
    <definedName name="xig3p">#REF!</definedName>
    <definedName name="XIGnc" localSheetId="5">#REF!</definedName>
    <definedName name="XIGnc" localSheetId="19">#REF!</definedName>
    <definedName name="XIGnc" localSheetId="3">#REF!</definedName>
    <definedName name="XIGnc">#REF!</definedName>
    <definedName name="XIGvc" localSheetId="5">#REF!</definedName>
    <definedName name="XIGvc" localSheetId="19">#REF!</definedName>
    <definedName name="XIGvc" localSheetId="3">#REF!</definedName>
    <definedName name="XIGvc">#REF!</definedName>
    <definedName name="XIGvl" localSheetId="5">#REF!</definedName>
    <definedName name="XIGvl" localSheetId="19">#REF!</definedName>
    <definedName name="XIGvl" localSheetId="3">#REF!</definedName>
    <definedName name="XIGvl">#REF!</definedName>
    <definedName name="ximang" localSheetId="5">#REF!</definedName>
    <definedName name="ximang" localSheetId="19">#REF!</definedName>
    <definedName name="ximang" localSheetId="3">#REF!</definedName>
    <definedName name="ximang">#REF!</definedName>
    <definedName name="xin" localSheetId="5">#REF!</definedName>
    <definedName name="xin" localSheetId="19">#REF!</definedName>
    <definedName name="xin" localSheetId="3">#REF!</definedName>
    <definedName name="xin">#REF!</definedName>
    <definedName name="xin190" localSheetId="5">#REF!</definedName>
    <definedName name="xin190" localSheetId="19">#REF!</definedName>
    <definedName name="xin190" localSheetId="3">#REF!</definedName>
    <definedName name="xin190">#REF!</definedName>
    <definedName name="xin1903p" localSheetId="5">#REF!</definedName>
    <definedName name="xin1903p" localSheetId="19">#REF!</definedName>
    <definedName name="xin1903p" localSheetId="3">#REF!</definedName>
    <definedName name="xin1903p">#REF!</definedName>
    <definedName name="xin3p" localSheetId="5">#REF!</definedName>
    <definedName name="xin3p" localSheetId="19">#REF!</definedName>
    <definedName name="xin3p" localSheetId="3">#REF!</definedName>
    <definedName name="xin3p">#REF!</definedName>
    <definedName name="xind" localSheetId="5">#REF!</definedName>
    <definedName name="xind" localSheetId="19">#REF!</definedName>
    <definedName name="xind" localSheetId="3">#REF!</definedName>
    <definedName name="xind">#REF!</definedName>
    <definedName name="xind1p" localSheetId="5">#REF!</definedName>
    <definedName name="xind1p" localSheetId="19">#REF!</definedName>
    <definedName name="xind1p" localSheetId="3">#REF!</definedName>
    <definedName name="xind1p">#REF!</definedName>
    <definedName name="xind3p" localSheetId="5">#REF!</definedName>
    <definedName name="xind3p" localSheetId="19">#REF!</definedName>
    <definedName name="xind3p" localSheetId="3">#REF!</definedName>
    <definedName name="xind3p">#REF!</definedName>
    <definedName name="xindnc1p" localSheetId="5">#REF!</definedName>
    <definedName name="xindnc1p" localSheetId="19">#REF!</definedName>
    <definedName name="xindnc1p" localSheetId="3">#REF!</definedName>
    <definedName name="xindnc1p">#REF!</definedName>
    <definedName name="xindvl1p" localSheetId="5">#REF!</definedName>
    <definedName name="xindvl1p" localSheetId="19">#REF!</definedName>
    <definedName name="xindvl1p" localSheetId="3">#REF!</definedName>
    <definedName name="xindvl1p">#REF!</definedName>
    <definedName name="XINnc" localSheetId="5">#REF!</definedName>
    <definedName name="XINnc" localSheetId="19">#REF!</definedName>
    <definedName name="XINnc" localSheetId="3">#REF!</definedName>
    <definedName name="XINnc">#REF!</definedName>
    <definedName name="xint1p" localSheetId="5">#REF!</definedName>
    <definedName name="xint1p" localSheetId="19">#REF!</definedName>
    <definedName name="xint1p" localSheetId="3">#REF!</definedName>
    <definedName name="xint1p">#REF!</definedName>
    <definedName name="XINvc" localSheetId="5">#REF!</definedName>
    <definedName name="XINvc" localSheetId="19">#REF!</definedName>
    <definedName name="XINvc" localSheetId="3">#REF!</definedName>
    <definedName name="XINvc">#REF!</definedName>
    <definedName name="XINvl" localSheetId="5">#REF!</definedName>
    <definedName name="XINvl" localSheetId="19">#REF!</definedName>
    <definedName name="XINvl" localSheetId="3">#REF!</definedName>
    <definedName name="XINvl">#REF!</definedName>
    <definedName name="xing1p" localSheetId="5">#REF!</definedName>
    <definedName name="xing1p" localSheetId="19">#REF!</definedName>
    <definedName name="xing1p" localSheetId="3">#REF!</definedName>
    <definedName name="xing1p">#REF!</definedName>
    <definedName name="xingnc1p" localSheetId="5">#REF!</definedName>
    <definedName name="xingnc1p" localSheetId="19">#REF!</definedName>
    <definedName name="xingnc1p" localSheetId="3">#REF!</definedName>
    <definedName name="xingnc1p">#REF!</definedName>
    <definedName name="xingvl1p" localSheetId="5">#REF!</definedName>
    <definedName name="xingvl1p" localSheetId="19">#REF!</definedName>
    <definedName name="xingvl1p" localSheetId="3">#REF!</definedName>
    <definedName name="xingvl1p">#REF!</definedName>
    <definedName name="xit" localSheetId="5">#REF!</definedName>
    <definedName name="xit" localSheetId="19">#REF!</definedName>
    <definedName name="xit" localSheetId="3">#REF!</definedName>
    <definedName name="xit">#REF!</definedName>
    <definedName name="xit1" localSheetId="5">#REF!</definedName>
    <definedName name="xit1" localSheetId="19">#REF!</definedName>
    <definedName name="xit1" localSheetId="3">#REF!</definedName>
    <definedName name="xit1">#REF!</definedName>
    <definedName name="xit1p" localSheetId="5">#REF!</definedName>
    <definedName name="xit1p" localSheetId="19">#REF!</definedName>
    <definedName name="xit1p" localSheetId="3">#REF!</definedName>
    <definedName name="xit1p">#REF!</definedName>
    <definedName name="xit3p" localSheetId="5">#REF!</definedName>
    <definedName name="xit3p" localSheetId="19">#REF!</definedName>
    <definedName name="xit3p" localSheetId="3">#REF!</definedName>
    <definedName name="xit3p">#REF!</definedName>
    <definedName name="XITnc" localSheetId="5">#REF!</definedName>
    <definedName name="XITnc" localSheetId="19">#REF!</definedName>
    <definedName name="XITnc" localSheetId="3">#REF!</definedName>
    <definedName name="XITnc">#REF!</definedName>
    <definedName name="XITvc" localSheetId="5">#REF!</definedName>
    <definedName name="XITvc" localSheetId="19">#REF!</definedName>
    <definedName name="XITvc" localSheetId="3">#REF!</definedName>
    <definedName name="XITvc">#REF!</definedName>
    <definedName name="XITvl" localSheetId="5">#REF!</definedName>
    <definedName name="XITvl" localSheetId="19">#REF!</definedName>
    <definedName name="XITvl" localSheetId="3">#REF!</definedName>
    <definedName name="XITvl">#REF!</definedName>
    <definedName name="xk0.6" localSheetId="5">#REF!</definedName>
    <definedName name="xk0.6" localSheetId="19">#REF!</definedName>
    <definedName name="xk0.6" localSheetId="3">#REF!</definedName>
    <definedName name="xk0.6">#REF!</definedName>
    <definedName name="xk1.3" localSheetId="5">#REF!</definedName>
    <definedName name="xk1.3" localSheetId="19">#REF!</definedName>
    <definedName name="xk1.3" localSheetId="3">#REF!</definedName>
    <definedName name="xk1.3">#REF!</definedName>
    <definedName name="xk1.5" localSheetId="5">#REF!</definedName>
    <definedName name="xk1.5" localSheetId="19">#REF!</definedName>
    <definedName name="xk1.5" localSheetId="3">#REF!</definedName>
    <definedName name="xk1.5">#REF!</definedName>
    <definedName name="xld1.4" localSheetId="5">#REF!</definedName>
    <definedName name="xld1.4" localSheetId="19">#REF!</definedName>
    <definedName name="xld1.4" localSheetId="3">#REF!</definedName>
    <definedName name="xld1.4">#REF!</definedName>
    <definedName name="xlk1.4" localSheetId="5">#REF!</definedName>
    <definedName name="xlk1.4" localSheetId="19">#REF!</definedName>
    <definedName name="xlk1.4" localSheetId="3">#REF!</definedName>
    <definedName name="xlk1.4">#REF!</definedName>
    <definedName name="xls" localSheetId="5" hidden="1">{"'Sheet1'!$L$16"}</definedName>
    <definedName name="xls" localSheetId="13" hidden="1">{"'Sheet1'!$L$16"}</definedName>
    <definedName name="xls" hidden="1">{"'Sheet1'!$L$16"}</definedName>
    <definedName name="xlttbninh" localSheetId="5" hidden="1">{"'Sheet1'!$L$16"}</definedName>
    <definedName name="xlttbninh" localSheetId="13" hidden="1">{"'Sheet1'!$L$16"}</definedName>
    <definedName name="xlttbninh" hidden="1">{"'Sheet1'!$L$16"}</definedName>
    <definedName name="XM" localSheetId="5">#REF!</definedName>
    <definedName name="XM" localSheetId="19">#REF!</definedName>
    <definedName name="XM" localSheetId="3">#REF!</definedName>
    <definedName name="XM">#REF!</definedName>
    <definedName name="xmcax" localSheetId="5">#REF!</definedName>
    <definedName name="xmcax" localSheetId="19">#REF!</definedName>
    <definedName name="xmcax" localSheetId="3">#REF!</definedName>
    <definedName name="xmcax">#REF!</definedName>
    <definedName name="xn" localSheetId="5">#REF!</definedName>
    <definedName name="xn" localSheetId="19">#REF!</definedName>
    <definedName name="xn" localSheetId="3">#REF!</definedName>
    <definedName name="xn">#REF!</definedName>
    <definedName name="xx" localSheetId="5">#REF!</definedName>
    <definedName name="xx" localSheetId="19">#REF!</definedName>
    <definedName name="xx" localSheetId="3">#REF!</definedName>
    <definedName name="xx">#REF!</definedName>
    <definedName name="y" localSheetId="5">#REF!</definedName>
    <definedName name="y" localSheetId="19">#REF!</definedName>
    <definedName name="y" localSheetId="3">#REF!</definedName>
    <definedName name="y">#REF!</definedName>
    <definedName name="z" localSheetId="5">#REF!</definedName>
    <definedName name="z" localSheetId="19">#REF!</definedName>
    <definedName name="z" localSheetId="3">#REF!</definedName>
    <definedName name="z">#REF!</definedName>
    <definedName name="ZXD" localSheetId="5">#REF!</definedName>
    <definedName name="ZXD" localSheetId="19">#REF!</definedName>
    <definedName name="ZXD" localSheetId="3">#REF!</definedName>
    <definedName name="ZXD">#REF!</definedName>
    <definedName name="ZYX" localSheetId="5">#REF!</definedName>
    <definedName name="ZYX" localSheetId="19">#REF!</definedName>
    <definedName name="ZYX" localSheetId="3">#REF!</definedName>
    <definedName name="ZYX">#REF!</definedName>
    <definedName name="ZZZ" localSheetId="5">#REF!</definedName>
    <definedName name="ZZZ" localSheetId="19">#REF!</definedName>
    <definedName name="ZZZ" localSheetId="3">#REF!</definedName>
    <definedName name="ZZZ">#REF!</definedName>
  </definedNames>
  <calcPr calcId="144525"/>
</workbook>
</file>

<file path=xl/calcChain.xml><?xml version="1.0" encoding="utf-8"?>
<calcChain xmlns="http://schemas.openxmlformats.org/spreadsheetml/2006/main">
  <c r="G52" i="31" l="1"/>
  <c r="G26" i="31"/>
  <c r="G75" i="31" l="1"/>
  <c r="G76" i="31"/>
  <c r="G77" i="31"/>
  <c r="G53" i="31"/>
  <c r="G48" i="31"/>
  <c r="G17" i="31"/>
  <c r="G12" i="31"/>
  <c r="G10" i="31"/>
  <c r="G9" i="31"/>
  <c r="G74" i="31" l="1"/>
  <c r="G8" i="31"/>
  <c r="G81" i="31" l="1"/>
  <c r="G80" i="31"/>
  <c r="G79" i="31"/>
  <c r="G73" i="31"/>
  <c r="G72" i="31"/>
  <c r="G71" i="31"/>
  <c r="G67" i="31"/>
  <c r="G66" i="31"/>
  <c r="G65" i="31"/>
  <c r="G64" i="31"/>
  <c r="G62" i="31"/>
  <c r="G61" i="31"/>
  <c r="G60" i="31"/>
  <c r="G59" i="31"/>
  <c r="G58" i="31" l="1"/>
  <c r="G63" i="31"/>
  <c r="G78" i="31"/>
  <c r="G70" i="31"/>
  <c r="G54" i="31"/>
  <c r="G47" i="31"/>
  <c r="G45" i="31"/>
  <c r="G46" i="31"/>
  <c r="G44" i="31"/>
  <c r="G38" i="31"/>
  <c r="G35" i="31"/>
  <c r="G34" i="31"/>
  <c r="G32" i="31"/>
  <c r="G31" i="31" s="1"/>
  <c r="G25" i="31"/>
  <c r="G24" i="31"/>
  <c r="G23" i="31"/>
  <c r="G57" i="31" l="1"/>
  <c r="G20" i="31"/>
  <c r="G19" i="31" s="1"/>
  <c r="G33" i="31"/>
  <c r="G51" i="31"/>
  <c r="G49" i="31" s="1"/>
  <c r="G43" i="31"/>
  <c r="G42" i="31" s="1"/>
  <c r="W74" i="20"/>
  <c r="W41" i="20"/>
  <c r="G41" i="31" l="1"/>
  <c r="G18" i="31"/>
  <c r="G7" i="31" s="1"/>
  <c r="M26" i="20"/>
  <c r="W69" i="20"/>
  <c r="H18" i="20" l="1"/>
  <c r="I18" i="20"/>
  <c r="J18" i="20"/>
  <c r="K18" i="20"/>
  <c r="L18" i="20"/>
  <c r="N18" i="20"/>
  <c r="O18" i="20"/>
  <c r="P18" i="20"/>
  <c r="Q18" i="20"/>
  <c r="R18" i="20"/>
  <c r="S18" i="20"/>
  <c r="T18" i="20"/>
  <c r="U18" i="20"/>
  <c r="V18" i="20"/>
  <c r="W18" i="20"/>
  <c r="X18" i="20"/>
  <c r="Y18" i="20"/>
  <c r="G18" i="20" l="1"/>
  <c r="M18" i="20"/>
  <c r="F18" i="20" l="1"/>
  <c r="E66" i="26"/>
  <c r="D66" i="26" s="1"/>
  <c r="Z47" i="26"/>
  <c r="Y47" i="26" s="1"/>
  <c r="X47" i="26" s="1"/>
  <c r="W47" i="26" s="1"/>
  <c r="V47" i="26" s="1"/>
  <c r="Z21" i="26"/>
  <c r="Y21" i="26"/>
  <c r="X21" i="26"/>
  <c r="Z20" i="26"/>
  <c r="Y20" i="26"/>
  <c r="X20" i="26"/>
  <c r="N19" i="26"/>
  <c r="M19" i="26"/>
  <c r="L19" i="26"/>
  <c r="K19" i="26"/>
  <c r="M16" i="26"/>
  <c r="L16" i="26"/>
  <c r="K16" i="26"/>
  <c r="E15" i="26"/>
  <c r="D15" i="26" s="1"/>
  <c r="N14" i="26"/>
  <c r="E14" i="26"/>
  <c r="D14" i="26"/>
  <c r="N13" i="26"/>
  <c r="E13" i="26"/>
  <c r="D13" i="26" s="1"/>
  <c r="Z12" i="26"/>
  <c r="Y12" i="26"/>
  <c r="X12" i="26"/>
  <c r="W12" i="26"/>
  <c r="V12" i="26"/>
  <c r="U12" i="26"/>
  <c r="T12" i="26"/>
  <c r="S12" i="26"/>
  <c r="R12" i="26"/>
  <c r="Q12" i="26"/>
  <c r="P12" i="26"/>
  <c r="O12" i="26"/>
  <c r="J12" i="26"/>
  <c r="I12" i="26"/>
  <c r="H12" i="26"/>
  <c r="G12" i="26"/>
  <c r="F12" i="26"/>
  <c r="E12" i="26"/>
  <c r="N11" i="26"/>
  <c r="N9" i="26" s="1"/>
  <c r="D11" i="26"/>
  <c r="D9" i="26" s="1"/>
  <c r="D8" i="26" s="1"/>
  <c r="Z9" i="26"/>
  <c r="Y9" i="26"/>
  <c r="X9" i="26"/>
  <c r="W9" i="26"/>
  <c r="V9" i="26"/>
  <c r="U9" i="26"/>
  <c r="T9" i="26"/>
  <c r="S9" i="26"/>
  <c r="R9" i="26"/>
  <c r="Q9" i="26"/>
  <c r="P9" i="26"/>
  <c r="O9" i="26"/>
  <c r="J9" i="26"/>
  <c r="I9" i="26"/>
  <c r="H9" i="26"/>
  <c r="G9" i="26"/>
  <c r="F9" i="26"/>
  <c r="E9" i="26"/>
  <c r="E19" i="26" l="1"/>
  <c r="D19" i="26" s="1"/>
  <c r="N12" i="26"/>
  <c r="D12" i="26"/>
  <c r="U47" i="26"/>
  <c r="T47" i="26" l="1"/>
  <c r="G17" i="23"/>
  <c r="G3" i="22"/>
  <c r="E22" i="23" s="1"/>
  <c r="G4" i="22"/>
  <c r="E31" i="23" s="1"/>
  <c r="E30" i="23" s="1"/>
  <c r="G2" i="22"/>
  <c r="E18" i="23" s="1"/>
  <c r="K16" i="19"/>
  <c r="L16" i="19"/>
  <c r="M16" i="19"/>
  <c r="L19" i="19"/>
  <c r="M19" i="19"/>
  <c r="K19" i="19"/>
  <c r="I16" i="22"/>
  <c r="C147" i="23"/>
  <c r="D6" i="23"/>
  <c r="D32" i="23"/>
  <c r="C146" i="23"/>
  <c r="C144" i="23"/>
  <c r="N19" i="19"/>
  <c r="C134" i="23"/>
  <c r="E42" i="23"/>
  <c r="C110" i="24"/>
  <c r="E108" i="24"/>
  <c r="E110" i="24" s="1"/>
  <c r="C104" i="24"/>
  <c r="G100" i="24"/>
  <c r="I100" i="24" s="1"/>
  <c r="K100" i="24" s="1"/>
  <c r="L100" i="24" s="1"/>
  <c r="L99" i="24"/>
  <c r="I99" i="24"/>
  <c r="N99" i="24" s="1"/>
  <c r="I98" i="24"/>
  <c r="I97" i="24"/>
  <c r="J96" i="24"/>
  <c r="J95" i="24" s="1"/>
  <c r="I96" i="24"/>
  <c r="H95" i="24"/>
  <c r="F95" i="24"/>
  <c r="E95" i="24"/>
  <c r="D95" i="24"/>
  <c r="C95" i="24"/>
  <c r="I94" i="24"/>
  <c r="K94" i="24" s="1"/>
  <c r="L94" i="24" s="1"/>
  <c r="G94" i="24"/>
  <c r="I93" i="24"/>
  <c r="G93" i="24"/>
  <c r="I92" i="24"/>
  <c r="K92" i="24" s="1"/>
  <c r="L92" i="24" s="1"/>
  <c r="N92" i="24" s="1"/>
  <c r="I91" i="24"/>
  <c r="K91" i="24" s="1"/>
  <c r="L91" i="24" s="1"/>
  <c r="N91" i="24" s="1"/>
  <c r="I90" i="24"/>
  <c r="K90" i="24" s="1"/>
  <c r="J89" i="24"/>
  <c r="L89" i="24" s="1"/>
  <c r="I89" i="24"/>
  <c r="J88" i="24"/>
  <c r="L88" i="24" s="1"/>
  <c r="I88" i="24"/>
  <c r="I87" i="24" s="1"/>
  <c r="E127" i="23" s="1"/>
  <c r="E126" i="23" s="1"/>
  <c r="J87" i="24"/>
  <c r="H87" i="24"/>
  <c r="G87" i="24"/>
  <c r="F87" i="24"/>
  <c r="E87" i="24"/>
  <c r="I86" i="24"/>
  <c r="K86" i="24" s="1"/>
  <c r="L86" i="24" s="1"/>
  <c r="I85" i="24"/>
  <c r="K85" i="24" s="1"/>
  <c r="L85" i="24" s="1"/>
  <c r="I84" i="24"/>
  <c r="K84" i="24" s="1"/>
  <c r="L84" i="24" s="1"/>
  <c r="I83" i="24"/>
  <c r="K83" i="24" s="1"/>
  <c r="L83" i="24" s="1"/>
  <c r="I82" i="24"/>
  <c r="K82" i="24" s="1"/>
  <c r="L82" i="24" s="1"/>
  <c r="I81" i="24"/>
  <c r="K81" i="24" s="1"/>
  <c r="L81" i="24" s="1"/>
  <c r="G80" i="24"/>
  <c r="I80" i="24" s="1"/>
  <c r="K80" i="24" s="1"/>
  <c r="L80" i="24" s="1"/>
  <c r="G79" i="24"/>
  <c r="I79" i="24" s="1"/>
  <c r="J78" i="24"/>
  <c r="H78" i="24"/>
  <c r="I77" i="24"/>
  <c r="K77" i="24" s="1"/>
  <c r="K76" i="24"/>
  <c r="L76" i="24" s="1"/>
  <c r="I76" i="24"/>
  <c r="L75" i="24"/>
  <c r="G75" i="24"/>
  <c r="I75" i="24" s="1"/>
  <c r="N75" i="24" s="1"/>
  <c r="L74" i="24"/>
  <c r="G74" i="24"/>
  <c r="I74" i="24" s="1"/>
  <c r="N74" i="24" s="1"/>
  <c r="L73" i="24"/>
  <c r="I73" i="24"/>
  <c r="N73" i="24" s="1"/>
  <c r="G73" i="24"/>
  <c r="J72" i="24"/>
  <c r="H72" i="24"/>
  <c r="G72" i="24"/>
  <c r="I71" i="24"/>
  <c r="K71" i="24" s="1"/>
  <c r="L71" i="24" s="1"/>
  <c r="L70" i="24"/>
  <c r="N70" i="24" s="1"/>
  <c r="I70" i="24"/>
  <c r="G69" i="24"/>
  <c r="I69" i="24" s="1"/>
  <c r="G68" i="24"/>
  <c r="I68" i="24" s="1"/>
  <c r="K68" i="24" s="1"/>
  <c r="L68" i="24" s="1"/>
  <c r="I67" i="24"/>
  <c r="K67" i="24" s="1"/>
  <c r="L67" i="24" s="1"/>
  <c r="G67" i="24"/>
  <c r="J66" i="24"/>
  <c r="H66" i="24"/>
  <c r="K65" i="24"/>
  <c r="L65" i="24" s="1"/>
  <c r="I65" i="24"/>
  <c r="L64" i="24"/>
  <c r="I64" i="24"/>
  <c r="I63" i="24"/>
  <c r="K63" i="24" s="1"/>
  <c r="L63" i="24" s="1"/>
  <c r="G63" i="24"/>
  <c r="G62" i="24"/>
  <c r="I62" i="24" s="1"/>
  <c r="L61" i="24"/>
  <c r="I61" i="24"/>
  <c r="N61" i="24" s="1"/>
  <c r="G61" i="24"/>
  <c r="L60" i="24"/>
  <c r="G60" i="24"/>
  <c r="I60" i="24" s="1"/>
  <c r="L59" i="24"/>
  <c r="G59" i="24"/>
  <c r="I59" i="24" s="1"/>
  <c r="L58" i="24"/>
  <c r="G58" i="24"/>
  <c r="I58" i="24" s="1"/>
  <c r="L57" i="24"/>
  <c r="G57" i="24"/>
  <c r="I57" i="24" s="1"/>
  <c r="N57" i="24" s="1"/>
  <c r="J56" i="24"/>
  <c r="H56" i="24"/>
  <c r="F56" i="24"/>
  <c r="G55" i="24"/>
  <c r="I55" i="24" s="1"/>
  <c r="I54" i="24"/>
  <c r="K54" i="24" s="1"/>
  <c r="L54" i="24" s="1"/>
  <c r="N54" i="24" s="1"/>
  <c r="I53" i="24"/>
  <c r="K53" i="24" s="1"/>
  <c r="L53" i="24" s="1"/>
  <c r="N53" i="24" s="1"/>
  <c r="I52" i="24"/>
  <c r="K52" i="24" s="1"/>
  <c r="L52" i="24" s="1"/>
  <c r="N52" i="24" s="1"/>
  <c r="I51" i="24"/>
  <c r="K51" i="24" s="1"/>
  <c r="L51" i="24" s="1"/>
  <c r="N51" i="24" s="1"/>
  <c r="I50" i="24"/>
  <c r="K50" i="24" s="1"/>
  <c r="L50" i="24" s="1"/>
  <c r="N50" i="24" s="1"/>
  <c r="I49" i="24"/>
  <c r="K49" i="24" s="1"/>
  <c r="J48" i="24"/>
  <c r="L48" i="24" s="1"/>
  <c r="G48" i="24"/>
  <c r="I48" i="24" s="1"/>
  <c r="H47" i="24"/>
  <c r="F47" i="24"/>
  <c r="I46" i="24"/>
  <c r="K46" i="24" s="1"/>
  <c r="L46" i="24" s="1"/>
  <c r="G45" i="24"/>
  <c r="I45" i="24" s="1"/>
  <c r="K45" i="24" s="1"/>
  <c r="L44" i="24"/>
  <c r="G44" i="24"/>
  <c r="I44" i="24" s="1"/>
  <c r="N44" i="24" s="1"/>
  <c r="L43" i="24"/>
  <c r="G43" i="24"/>
  <c r="I43" i="24" s="1"/>
  <c r="N43" i="24" s="1"/>
  <c r="J42" i="24"/>
  <c r="H42" i="24"/>
  <c r="L41" i="24"/>
  <c r="I41" i="24"/>
  <c r="N41" i="24" s="1"/>
  <c r="I40" i="24"/>
  <c r="L39" i="24"/>
  <c r="I39" i="24"/>
  <c r="M38" i="24"/>
  <c r="J38" i="24"/>
  <c r="H38" i="24"/>
  <c r="G38" i="24"/>
  <c r="K37" i="24"/>
  <c r="L37" i="24" s="1"/>
  <c r="I37" i="24"/>
  <c r="I36" i="24"/>
  <c r="K36" i="24" s="1"/>
  <c r="L36" i="24" s="1"/>
  <c r="I35" i="24"/>
  <c r="K35" i="24" s="1"/>
  <c r="L35" i="24" s="1"/>
  <c r="J34" i="24"/>
  <c r="J33" i="24" s="1"/>
  <c r="I34" i="24"/>
  <c r="H33" i="24"/>
  <c r="G33" i="24"/>
  <c r="L32" i="24"/>
  <c r="I32" i="24"/>
  <c r="L31" i="24"/>
  <c r="G31" i="24"/>
  <c r="I31" i="24" s="1"/>
  <c r="L30" i="24"/>
  <c r="K30" i="24"/>
  <c r="G30" i="24"/>
  <c r="I30" i="24" s="1"/>
  <c r="N30" i="24" s="1"/>
  <c r="G29" i="24"/>
  <c r="I29" i="24" s="1"/>
  <c r="J28" i="24"/>
  <c r="H28" i="24"/>
  <c r="L26" i="24"/>
  <c r="G26" i="24"/>
  <c r="I26" i="24" s="1"/>
  <c r="I25" i="24"/>
  <c r="K25" i="24" s="1"/>
  <c r="J24" i="24"/>
  <c r="H24" i="24"/>
  <c r="F24" i="24"/>
  <c r="G23" i="24"/>
  <c r="I23" i="24" s="1"/>
  <c r="K23" i="24" s="1"/>
  <c r="L23" i="24" s="1"/>
  <c r="G22" i="24"/>
  <c r="I22" i="24" s="1"/>
  <c r="K22" i="24" s="1"/>
  <c r="L22" i="24" s="1"/>
  <c r="G21" i="24"/>
  <c r="I21" i="24" s="1"/>
  <c r="G20" i="24"/>
  <c r="I20" i="24" s="1"/>
  <c r="J19" i="24"/>
  <c r="H19" i="24"/>
  <c r="L18" i="24"/>
  <c r="J18" i="24"/>
  <c r="I18" i="24"/>
  <c r="N18" i="24" s="1"/>
  <c r="J17" i="24"/>
  <c r="L17" i="24" s="1"/>
  <c r="H17" i="24"/>
  <c r="G17" i="24"/>
  <c r="I16" i="24"/>
  <c r="K16" i="24" s="1"/>
  <c r="L16" i="24" s="1"/>
  <c r="K15" i="24"/>
  <c r="L15" i="24" s="1"/>
  <c r="I15" i="24"/>
  <c r="J14" i="24"/>
  <c r="H14" i="24"/>
  <c r="G14" i="24"/>
  <c r="L13" i="24"/>
  <c r="G13" i="24"/>
  <c r="I13" i="24" s="1"/>
  <c r="G12" i="24"/>
  <c r="I12" i="24" s="1"/>
  <c r="K12" i="24" s="1"/>
  <c r="J11" i="24"/>
  <c r="H11" i="24"/>
  <c r="I10" i="24"/>
  <c r="J10" i="24" s="1"/>
  <c r="K9" i="24"/>
  <c r="L9" i="24" s="1"/>
  <c r="G9" i="24"/>
  <c r="E131" i="23"/>
  <c r="E130" i="23" s="1"/>
  <c r="E124" i="23"/>
  <c r="E123" i="23" s="1"/>
  <c r="E117" i="23"/>
  <c r="E116" i="23" s="1"/>
  <c r="E110" i="23"/>
  <c r="E109" i="23" s="1"/>
  <c r="E103" i="23"/>
  <c r="E102" i="23" s="1"/>
  <c r="E97" i="23"/>
  <c r="E96" i="23" s="1"/>
  <c r="E90" i="23"/>
  <c r="E89" i="23" s="1"/>
  <c r="E83" i="23"/>
  <c r="E82" i="23" s="1"/>
  <c r="E75" i="23"/>
  <c r="E74" i="23" s="1"/>
  <c r="E67" i="23"/>
  <c r="E66" i="23" s="1"/>
  <c r="E60" i="23"/>
  <c r="E59" i="23" s="1"/>
  <c r="E53" i="23"/>
  <c r="G6" i="22"/>
  <c r="E10" i="23" s="1"/>
  <c r="E9" i="23" s="1"/>
  <c r="G7" i="22"/>
  <c r="E12" i="23" s="1"/>
  <c r="E11" i="23" s="1"/>
  <c r="G9" i="22"/>
  <c r="E29" i="23" s="1"/>
  <c r="E28" i="23" s="1"/>
  <c r="G10" i="22"/>
  <c r="E51" i="23" s="1"/>
  <c r="G11" i="22"/>
  <c r="E58" i="23" s="1"/>
  <c r="E57" i="23" s="1"/>
  <c r="G12" i="22"/>
  <c r="E65" i="23" s="1"/>
  <c r="E64" i="23" s="1"/>
  <c r="G13" i="22"/>
  <c r="E73" i="23" s="1"/>
  <c r="E72" i="23" s="1"/>
  <c r="G14" i="22"/>
  <c r="E81" i="23" s="1"/>
  <c r="E80" i="23" s="1"/>
  <c r="G15" i="22"/>
  <c r="E88" i="23" s="1"/>
  <c r="E87" i="23" s="1"/>
  <c r="G16" i="22"/>
  <c r="E95" i="23" s="1"/>
  <c r="E94" i="23" s="1"/>
  <c r="G17" i="22"/>
  <c r="E101" i="23" s="1"/>
  <c r="E100" i="23" s="1"/>
  <c r="G18" i="22"/>
  <c r="E108" i="23" s="1"/>
  <c r="E107" i="23" s="1"/>
  <c r="G19" i="22"/>
  <c r="E115" i="23" s="1"/>
  <c r="E114" i="23" s="1"/>
  <c r="G20" i="22"/>
  <c r="E122" i="23" s="1"/>
  <c r="E121" i="23" s="1"/>
  <c r="G21" i="22"/>
  <c r="E129" i="23" s="1"/>
  <c r="E128" i="23" s="1"/>
  <c r="G5" i="22"/>
  <c r="E35" i="23" s="1"/>
  <c r="D40" i="23"/>
  <c r="D15" i="23"/>
  <c r="D14" i="23" s="1"/>
  <c r="D13" i="23" s="1"/>
  <c r="D125" i="23"/>
  <c r="D118" i="23"/>
  <c r="D111" i="23"/>
  <c r="D104" i="23"/>
  <c r="D98" i="23"/>
  <c r="D91" i="23"/>
  <c r="D84" i="23"/>
  <c r="D76" i="23"/>
  <c r="D68" i="23"/>
  <c r="D61" i="23"/>
  <c r="D54" i="23"/>
  <c r="D47" i="23"/>
  <c r="D44" i="23"/>
  <c r="D43" i="23"/>
  <c r="F32" i="23"/>
  <c r="H14" i="23"/>
  <c r="F14" i="23"/>
  <c r="F7" i="23"/>
  <c r="N39" i="24" l="1"/>
  <c r="G56" i="24"/>
  <c r="N58" i="24"/>
  <c r="N59" i="24"/>
  <c r="K8" i="24"/>
  <c r="H9" i="24"/>
  <c r="H8" i="24" s="1"/>
  <c r="H7" i="24" s="1"/>
  <c r="N13" i="24"/>
  <c r="I17" i="24"/>
  <c r="E34" i="23" s="1"/>
  <c r="N26" i="24"/>
  <c r="H27" i="24"/>
  <c r="N31" i="24"/>
  <c r="N34" i="24"/>
  <c r="L34" i="24"/>
  <c r="I38" i="24"/>
  <c r="N60" i="24"/>
  <c r="G78" i="24"/>
  <c r="G95" i="24"/>
  <c r="L96" i="24"/>
  <c r="E19" i="19"/>
  <c r="D19" i="19" s="1"/>
  <c r="G21" i="23"/>
  <c r="K21" i="24"/>
  <c r="L21" i="24" s="1"/>
  <c r="N21" i="24" s="1"/>
  <c r="K62" i="24"/>
  <c r="L62" i="24" s="1"/>
  <c r="N62" i="24" s="1"/>
  <c r="L77" i="24"/>
  <c r="K72" i="24"/>
  <c r="N89" i="24"/>
  <c r="I28" i="24"/>
  <c r="E93" i="23" s="1"/>
  <c r="E92" i="23" s="1"/>
  <c r="K29" i="24"/>
  <c r="L29" i="24" s="1"/>
  <c r="K14" i="24"/>
  <c r="N32" i="24"/>
  <c r="K33" i="24"/>
  <c r="L33" i="24" s="1"/>
  <c r="N35" i="24"/>
  <c r="K40" i="24"/>
  <c r="J47" i="24"/>
  <c r="N64" i="24"/>
  <c r="N88" i="24"/>
  <c r="N100" i="24"/>
  <c r="I78" i="24"/>
  <c r="E70" i="23" s="1"/>
  <c r="E69" i="23" s="1"/>
  <c r="E68" i="23" s="1"/>
  <c r="G11" i="24"/>
  <c r="N17" i="24"/>
  <c r="N37" i="24"/>
  <c r="G42" i="24"/>
  <c r="L49" i="24"/>
  <c r="N49" i="24" s="1"/>
  <c r="K55" i="24"/>
  <c r="L55" i="24" s="1"/>
  <c r="N55" i="24" s="1"/>
  <c r="N65" i="24"/>
  <c r="K79" i="24"/>
  <c r="L79" i="24" s="1"/>
  <c r="L78" i="24" s="1"/>
  <c r="K93" i="24"/>
  <c r="L93" i="24" s="1"/>
  <c r="N93" i="24" s="1"/>
  <c r="K98" i="24"/>
  <c r="L98" i="24" s="1"/>
  <c r="N98" i="24" s="1"/>
  <c r="N36" i="24"/>
  <c r="I66" i="24"/>
  <c r="E78" i="23" s="1"/>
  <c r="E77" i="23" s="1"/>
  <c r="E76" i="23" s="1"/>
  <c r="N96" i="24"/>
  <c r="K97" i="24"/>
  <c r="E49" i="23"/>
  <c r="E48" i="23" s="1"/>
  <c r="S47" i="26"/>
  <c r="G20" i="23"/>
  <c r="E98" i="23"/>
  <c r="E33" i="23"/>
  <c r="E125" i="23"/>
  <c r="E44" i="23"/>
  <c r="E46" i="23"/>
  <c r="E45" i="23" s="1"/>
  <c r="E50" i="23"/>
  <c r="E43" i="23" s="1"/>
  <c r="E52" i="23"/>
  <c r="D39" i="23"/>
  <c r="D132" i="23" s="1"/>
  <c r="E91" i="23"/>
  <c r="K11" i="24"/>
  <c r="L12" i="24"/>
  <c r="L11" i="24" s="1"/>
  <c r="L14" i="24"/>
  <c r="K24" i="24"/>
  <c r="L25" i="24"/>
  <c r="L24" i="24" s="1"/>
  <c r="J27" i="24"/>
  <c r="L72" i="24"/>
  <c r="N16" i="24"/>
  <c r="N22" i="24"/>
  <c r="K69" i="24"/>
  <c r="L69" i="24" s="1"/>
  <c r="N69" i="24" s="1"/>
  <c r="N77" i="24"/>
  <c r="K42" i="24"/>
  <c r="L45" i="24"/>
  <c r="L42" i="24" s="1"/>
  <c r="E111" i="24"/>
  <c r="E109" i="24"/>
  <c r="L10" i="24"/>
  <c r="J8" i="24"/>
  <c r="N15" i="24"/>
  <c r="I19" i="24"/>
  <c r="E27" i="23" s="1"/>
  <c r="E26" i="23" s="1"/>
  <c r="K20" i="24"/>
  <c r="H101" i="24"/>
  <c r="N48" i="24"/>
  <c r="I47" i="24"/>
  <c r="N76" i="24"/>
  <c r="L90" i="24"/>
  <c r="K87" i="24"/>
  <c r="N94" i="24"/>
  <c r="I11" i="24"/>
  <c r="I14" i="24"/>
  <c r="N29" i="24"/>
  <c r="I42" i="24"/>
  <c r="N67" i="24"/>
  <c r="I72" i="24"/>
  <c r="N79" i="24"/>
  <c r="N10" i="24"/>
  <c r="N12" i="24"/>
  <c r="N23" i="24"/>
  <c r="I24" i="24"/>
  <c r="G28" i="24"/>
  <c r="K28" i="24"/>
  <c r="N45" i="24"/>
  <c r="N46" i="24"/>
  <c r="K56" i="24"/>
  <c r="N63" i="24"/>
  <c r="G66" i="24"/>
  <c r="N68" i="24"/>
  <c r="N71" i="24"/>
  <c r="K78" i="24"/>
  <c r="N80" i="24"/>
  <c r="N81" i="24"/>
  <c r="N82" i="24"/>
  <c r="N83" i="24"/>
  <c r="N84" i="24"/>
  <c r="N85" i="24"/>
  <c r="N86" i="24"/>
  <c r="G19" i="24"/>
  <c r="G24" i="24"/>
  <c r="I33" i="24"/>
  <c r="G47" i="24"/>
  <c r="I56" i="24"/>
  <c r="I95" i="24"/>
  <c r="Z47" i="19"/>
  <c r="Y47" i="19" s="1"/>
  <c r="X47" i="19" s="1"/>
  <c r="W47" i="19" s="1"/>
  <c r="V47" i="19" s="1"/>
  <c r="U47" i="19" s="1"/>
  <c r="T47" i="19" s="1"/>
  <c r="S47" i="19" s="1"/>
  <c r="R47" i="19" s="1"/>
  <c r="Q47" i="19" s="1"/>
  <c r="P47" i="19" s="1"/>
  <c r="O47" i="19" s="1"/>
  <c r="Z21" i="19"/>
  <c r="Y21" i="19"/>
  <c r="X21" i="19"/>
  <c r="Z20" i="19"/>
  <c r="Y20" i="19"/>
  <c r="X20" i="19"/>
  <c r="I120" i="20"/>
  <c r="G32" i="26" s="1"/>
  <c r="J120" i="20"/>
  <c r="K120" i="20"/>
  <c r="L120" i="20"/>
  <c r="J32" i="26" s="1"/>
  <c r="N120" i="20"/>
  <c r="P120" i="20"/>
  <c r="Q120" i="20"/>
  <c r="R120" i="20"/>
  <c r="S120" i="20"/>
  <c r="T120" i="20"/>
  <c r="U120" i="20"/>
  <c r="V32" i="26" s="1"/>
  <c r="V120" i="20"/>
  <c r="W120" i="20"/>
  <c r="X120" i="20"/>
  <c r="Y120" i="20"/>
  <c r="Z32" i="26" s="1"/>
  <c r="I111" i="20"/>
  <c r="J111" i="20"/>
  <c r="K111" i="20"/>
  <c r="L111" i="20"/>
  <c r="N111" i="20"/>
  <c r="O111" i="20"/>
  <c r="P111" i="20"/>
  <c r="Q111" i="20"/>
  <c r="R111" i="20"/>
  <c r="S31" i="26" s="1"/>
  <c r="S111" i="20"/>
  <c r="T111" i="20"/>
  <c r="U111" i="20"/>
  <c r="V111" i="20"/>
  <c r="W111" i="20"/>
  <c r="X31" i="26" s="1"/>
  <c r="X111" i="20"/>
  <c r="Y111" i="20"/>
  <c r="I105" i="20"/>
  <c r="J105" i="20"/>
  <c r="K105" i="20"/>
  <c r="L105" i="20"/>
  <c r="J30" i="26" s="1"/>
  <c r="N105" i="20"/>
  <c r="O30" i="26" s="1"/>
  <c r="O105" i="20"/>
  <c r="P105" i="20"/>
  <c r="Q105" i="20"/>
  <c r="R105" i="20"/>
  <c r="S105" i="20"/>
  <c r="T105" i="20"/>
  <c r="U105" i="20"/>
  <c r="V105" i="20"/>
  <c r="W105" i="20"/>
  <c r="X105" i="20"/>
  <c r="Y105" i="20"/>
  <c r="Z30" i="26" s="1"/>
  <c r="I93" i="20"/>
  <c r="J93" i="20"/>
  <c r="K93" i="20"/>
  <c r="L93" i="20"/>
  <c r="O93" i="20"/>
  <c r="Q93" i="20"/>
  <c r="T93" i="20"/>
  <c r="U93" i="20"/>
  <c r="W93" i="20"/>
  <c r="Y93" i="20"/>
  <c r="Y86" i="20"/>
  <c r="Y85" i="20" s="1"/>
  <c r="I86" i="20"/>
  <c r="J86" i="20"/>
  <c r="J85" i="20" s="1"/>
  <c r="K86" i="20"/>
  <c r="L86" i="20"/>
  <c r="L85" i="20" s="1"/>
  <c r="N86" i="20"/>
  <c r="O86" i="20"/>
  <c r="P86" i="20"/>
  <c r="Q86" i="20"/>
  <c r="Q85" i="20" s="1"/>
  <c r="R86" i="20"/>
  <c r="S86" i="20"/>
  <c r="T86" i="20"/>
  <c r="U86" i="20"/>
  <c r="U85" i="20" s="1"/>
  <c r="V86" i="20"/>
  <c r="W86" i="20"/>
  <c r="W85" i="20" s="1"/>
  <c r="X86" i="20"/>
  <c r="H86" i="20"/>
  <c r="H111" i="20"/>
  <c r="H105" i="20"/>
  <c r="F30" i="26" s="1"/>
  <c r="H93" i="20"/>
  <c r="T85" i="20" l="1"/>
  <c r="S28" i="26"/>
  <c r="K85" i="20"/>
  <c r="I85" i="20"/>
  <c r="K66" i="24"/>
  <c r="I9" i="24"/>
  <c r="O30" i="19"/>
  <c r="Z32" i="19"/>
  <c r="G32" i="19"/>
  <c r="J28" i="19"/>
  <c r="J28" i="26"/>
  <c r="Q30" i="19"/>
  <c r="Q30" i="26"/>
  <c r="F29" i="19"/>
  <c r="F29" i="26"/>
  <c r="X28" i="19"/>
  <c r="X28" i="26"/>
  <c r="T28" i="19"/>
  <c r="T28" i="26"/>
  <c r="H28" i="19"/>
  <c r="H28" i="26"/>
  <c r="F31" i="19"/>
  <c r="F31" i="26"/>
  <c r="W28" i="19"/>
  <c r="W28" i="26"/>
  <c r="O28" i="19"/>
  <c r="O28" i="26"/>
  <c r="G28" i="19"/>
  <c r="G28" i="26"/>
  <c r="V29" i="19"/>
  <c r="V29" i="26"/>
  <c r="J29" i="19"/>
  <c r="J29" i="26"/>
  <c r="V30" i="19"/>
  <c r="V30" i="26"/>
  <c r="R30" i="19"/>
  <c r="R30" i="26"/>
  <c r="Z31" i="19"/>
  <c r="Z31" i="26"/>
  <c r="V31" i="19"/>
  <c r="V31" i="26"/>
  <c r="R31" i="19"/>
  <c r="R31" i="26"/>
  <c r="J31" i="19"/>
  <c r="J31" i="26"/>
  <c r="R32" i="19"/>
  <c r="R32" i="26"/>
  <c r="J32" i="19"/>
  <c r="Z30" i="19"/>
  <c r="S28" i="19"/>
  <c r="L56" i="24"/>
  <c r="N56" i="24" s="1"/>
  <c r="L97" i="24"/>
  <c r="K95" i="24"/>
  <c r="K47" i="24"/>
  <c r="V28" i="19"/>
  <c r="V28" i="26"/>
  <c r="Z28" i="19"/>
  <c r="Z28" i="26"/>
  <c r="I29" i="19"/>
  <c r="I29" i="26"/>
  <c r="U30" i="19"/>
  <c r="U30" i="26"/>
  <c r="Y31" i="19"/>
  <c r="Y31" i="26"/>
  <c r="Q31" i="19"/>
  <c r="Q31" i="26"/>
  <c r="Y32" i="19"/>
  <c r="Y32" i="26"/>
  <c r="Q32" i="19"/>
  <c r="Q32" i="26"/>
  <c r="N33" i="24"/>
  <c r="E120" i="23"/>
  <c r="E119" i="23" s="1"/>
  <c r="E118" i="23" s="1"/>
  <c r="N72" i="24"/>
  <c r="E106" i="23"/>
  <c r="E105" i="23" s="1"/>
  <c r="E104" i="23" s="1"/>
  <c r="N14" i="24"/>
  <c r="E24" i="23"/>
  <c r="E23" i="23" s="1"/>
  <c r="E86" i="23"/>
  <c r="E85" i="23" s="1"/>
  <c r="E84" i="23" s="1"/>
  <c r="U28" i="19"/>
  <c r="U28" i="26"/>
  <c r="Q28" i="19"/>
  <c r="Q28" i="26"/>
  <c r="I28" i="19"/>
  <c r="I28" i="26"/>
  <c r="Z29" i="19"/>
  <c r="Z29" i="26"/>
  <c r="R29" i="19"/>
  <c r="R29" i="26"/>
  <c r="H29" i="19"/>
  <c r="H29" i="26"/>
  <c r="X30" i="19"/>
  <c r="X30" i="26"/>
  <c r="T30" i="19"/>
  <c r="T30" i="26"/>
  <c r="P30" i="19"/>
  <c r="P30" i="26"/>
  <c r="H30" i="19"/>
  <c r="H30" i="26"/>
  <c r="T31" i="19"/>
  <c r="T31" i="26"/>
  <c r="P31" i="19"/>
  <c r="P31" i="26"/>
  <c r="H31" i="19"/>
  <c r="H31" i="26"/>
  <c r="X32" i="19"/>
  <c r="X32" i="26"/>
  <c r="T32" i="19"/>
  <c r="T32" i="26"/>
  <c r="H32" i="19"/>
  <c r="H32" i="26"/>
  <c r="X31" i="19"/>
  <c r="J30" i="19"/>
  <c r="E113" i="23"/>
  <c r="E112" i="23" s="1"/>
  <c r="E111" i="23" s="1"/>
  <c r="N25" i="24"/>
  <c r="N11" i="24"/>
  <c r="E20" i="23"/>
  <c r="N78" i="24"/>
  <c r="F28" i="19"/>
  <c r="F28" i="26"/>
  <c r="R28" i="19"/>
  <c r="R28" i="26"/>
  <c r="U29" i="19"/>
  <c r="U29" i="26"/>
  <c r="Y30" i="19"/>
  <c r="Y30" i="26"/>
  <c r="I30" i="19"/>
  <c r="I30" i="26"/>
  <c r="U31" i="19"/>
  <c r="U31" i="26"/>
  <c r="I31" i="19"/>
  <c r="I31" i="26"/>
  <c r="U32" i="19"/>
  <c r="U32" i="26"/>
  <c r="I32" i="19"/>
  <c r="I32" i="26"/>
  <c r="Y28" i="19"/>
  <c r="Y28" i="26"/>
  <c r="P28" i="19"/>
  <c r="P28" i="26"/>
  <c r="X29" i="19"/>
  <c r="X29" i="26"/>
  <c r="P29" i="19"/>
  <c r="P29" i="26"/>
  <c r="G29" i="19"/>
  <c r="G29" i="26"/>
  <c r="W30" i="19"/>
  <c r="W30" i="26"/>
  <c r="S30" i="19"/>
  <c r="S30" i="26"/>
  <c r="G30" i="19"/>
  <c r="G30" i="26"/>
  <c r="W31" i="19"/>
  <c r="W31" i="26"/>
  <c r="O31" i="19"/>
  <c r="O31" i="26"/>
  <c r="G31" i="19"/>
  <c r="G31" i="26"/>
  <c r="W32" i="19"/>
  <c r="W32" i="26"/>
  <c r="S32" i="19"/>
  <c r="S32" i="26"/>
  <c r="O32" i="19"/>
  <c r="O32" i="26"/>
  <c r="V32" i="19"/>
  <c r="S31" i="19"/>
  <c r="F30" i="19"/>
  <c r="E63" i="23"/>
  <c r="E62" i="23" s="1"/>
  <c r="E61" i="23" s="1"/>
  <c r="G7" i="24"/>
  <c r="N24" i="24"/>
  <c r="E38" i="23"/>
  <c r="E37" i="23" s="1"/>
  <c r="G34" i="23" s="1"/>
  <c r="N42" i="24"/>
  <c r="E56" i="23"/>
  <c r="L40" i="24"/>
  <c r="K38" i="24"/>
  <c r="L47" i="24"/>
  <c r="N47" i="24" s="1"/>
  <c r="R47" i="26"/>
  <c r="N47" i="19"/>
  <c r="J47" i="19" s="1"/>
  <c r="I47" i="19" s="1"/>
  <c r="H47" i="19" s="1"/>
  <c r="G47" i="19" s="1"/>
  <c r="F47" i="19" s="1"/>
  <c r="E47" i="19" s="1"/>
  <c r="D47" i="19" s="1"/>
  <c r="E47" i="23"/>
  <c r="G27" i="24"/>
  <c r="N90" i="24"/>
  <c r="L87" i="24"/>
  <c r="N87" i="24" s="1"/>
  <c r="I27" i="24"/>
  <c r="L28" i="24"/>
  <c r="K27" i="24"/>
  <c r="K19" i="24"/>
  <c r="K7" i="24" s="1"/>
  <c r="L20" i="24"/>
  <c r="J7" i="24"/>
  <c r="J101" i="24" s="1"/>
  <c r="C108" i="24" s="1"/>
  <c r="C111" i="24" s="1"/>
  <c r="C109" i="24" s="1"/>
  <c r="L8" i="24"/>
  <c r="L66" i="24"/>
  <c r="N66" i="24" s="1"/>
  <c r="I8" i="24" l="1"/>
  <c r="N9" i="24"/>
  <c r="N30" i="26"/>
  <c r="Z27" i="19"/>
  <c r="V27" i="19"/>
  <c r="N31" i="19"/>
  <c r="N28" i="19"/>
  <c r="G27" i="19"/>
  <c r="N30" i="19"/>
  <c r="R27" i="19"/>
  <c r="H27" i="19"/>
  <c r="X27" i="19"/>
  <c r="E55" i="23"/>
  <c r="E41" i="23"/>
  <c r="I27" i="19"/>
  <c r="E32" i="23"/>
  <c r="I27" i="26"/>
  <c r="U27" i="26"/>
  <c r="V27" i="26"/>
  <c r="L95" i="24"/>
  <c r="N95" i="24" s="1"/>
  <c r="N97" i="24"/>
  <c r="H27" i="26"/>
  <c r="X27" i="26"/>
  <c r="U27" i="19"/>
  <c r="N28" i="26"/>
  <c r="R27" i="26"/>
  <c r="Z27" i="26"/>
  <c r="J27" i="26"/>
  <c r="G101" i="24"/>
  <c r="L38" i="24"/>
  <c r="N38" i="24" s="1"/>
  <c r="N40" i="24"/>
  <c r="N31" i="26"/>
  <c r="E19" i="23"/>
  <c r="G27" i="26"/>
  <c r="J27" i="19"/>
  <c r="Q47" i="26"/>
  <c r="N28" i="24"/>
  <c r="L19" i="24"/>
  <c r="N19" i="24" s="1"/>
  <c r="N20" i="24"/>
  <c r="N8" i="24"/>
  <c r="K101" i="24"/>
  <c r="E16" i="23" l="1"/>
  <c r="C143" i="23" s="1"/>
  <c r="I7" i="24"/>
  <c r="I101" i="24" s="1"/>
  <c r="L27" i="24"/>
  <c r="N27" i="24" s="1"/>
  <c r="E54" i="23"/>
  <c r="E40" i="23"/>
  <c r="E39" i="23" s="1"/>
  <c r="P47" i="26"/>
  <c r="L7" i="24"/>
  <c r="L101" i="24" l="1"/>
  <c r="N101" i="24" s="1"/>
  <c r="E15" i="23"/>
  <c r="E14" i="23" s="1"/>
  <c r="G15" i="23"/>
  <c r="O47" i="26"/>
  <c r="K11" i="17"/>
  <c r="N11" i="19"/>
  <c r="K11" i="21"/>
  <c r="E62" i="21"/>
  <c r="D62" i="21" s="1"/>
  <c r="E15" i="21"/>
  <c r="D15" i="21" s="1"/>
  <c r="K14" i="21"/>
  <c r="E14" i="21"/>
  <c r="K13" i="21"/>
  <c r="E13" i="21"/>
  <c r="D13" i="21" s="1"/>
  <c r="W12" i="21"/>
  <c r="V12" i="21"/>
  <c r="U12" i="21"/>
  <c r="T12" i="21"/>
  <c r="S12" i="21"/>
  <c r="R12" i="21"/>
  <c r="Q12" i="21"/>
  <c r="P12" i="21"/>
  <c r="O12" i="21"/>
  <c r="N12" i="21"/>
  <c r="M12" i="21"/>
  <c r="L12" i="21"/>
  <c r="J12" i="21"/>
  <c r="I12" i="21"/>
  <c r="H12" i="21"/>
  <c r="G12" i="21"/>
  <c r="F12" i="21"/>
  <c r="D11" i="21"/>
  <c r="W9" i="21"/>
  <c r="V9" i="21"/>
  <c r="U9" i="21"/>
  <c r="T9" i="21"/>
  <c r="S9" i="21"/>
  <c r="R9" i="21"/>
  <c r="Q9" i="21"/>
  <c r="P9" i="21"/>
  <c r="O9" i="21"/>
  <c r="N9" i="21"/>
  <c r="M9" i="21"/>
  <c r="L9" i="21"/>
  <c r="K9" i="21"/>
  <c r="J9" i="21"/>
  <c r="I9" i="21"/>
  <c r="H9" i="21"/>
  <c r="G9" i="21"/>
  <c r="F9" i="21"/>
  <c r="E9" i="21"/>
  <c r="D9" i="21"/>
  <c r="D8" i="21" s="1"/>
  <c r="I6" i="11"/>
  <c r="J6" i="11" s="1"/>
  <c r="I7" i="11"/>
  <c r="J7" i="11" s="1"/>
  <c r="I8" i="11"/>
  <c r="J8" i="11" s="1"/>
  <c r="I9" i="11"/>
  <c r="J9" i="11" s="1"/>
  <c r="I10" i="11"/>
  <c r="J10" i="11" s="1"/>
  <c r="I11" i="11"/>
  <c r="J11" i="11" s="1"/>
  <c r="I12" i="11"/>
  <c r="J12" i="11" s="1"/>
  <c r="I13" i="11"/>
  <c r="J13" i="11" s="1"/>
  <c r="I14" i="11"/>
  <c r="J14" i="11" s="1"/>
  <c r="I15" i="11"/>
  <c r="J15" i="11" s="1"/>
  <c r="I16" i="11"/>
  <c r="J16" i="11" s="1"/>
  <c r="I5" i="11"/>
  <c r="J5" i="11" s="1"/>
  <c r="M340" i="20"/>
  <c r="G340" i="20"/>
  <c r="M339" i="20"/>
  <c r="G339" i="20"/>
  <c r="M338" i="20"/>
  <c r="G338" i="20"/>
  <c r="M337" i="20"/>
  <c r="G337" i="20"/>
  <c r="M336" i="20"/>
  <c r="G336" i="20"/>
  <c r="Y335" i="20"/>
  <c r="X335" i="20"/>
  <c r="W335" i="20"/>
  <c r="V335" i="20"/>
  <c r="U335" i="20"/>
  <c r="T335" i="20"/>
  <c r="S335" i="20"/>
  <c r="R335" i="20"/>
  <c r="Q335" i="20"/>
  <c r="P335" i="20"/>
  <c r="O335" i="20"/>
  <c r="N335" i="20"/>
  <c r="L335" i="20"/>
  <c r="K335" i="20"/>
  <c r="J335" i="20"/>
  <c r="I335" i="20"/>
  <c r="H335" i="20"/>
  <c r="S334" i="20"/>
  <c r="M334" i="20" s="1"/>
  <c r="G334" i="20"/>
  <c r="Q333" i="20"/>
  <c r="M333" i="20" s="1"/>
  <c r="G333" i="20"/>
  <c r="Y332" i="20"/>
  <c r="X332" i="20"/>
  <c r="W332" i="20"/>
  <c r="V332" i="20"/>
  <c r="U332" i="20"/>
  <c r="T332" i="20"/>
  <c r="R332" i="20"/>
  <c r="P332" i="20"/>
  <c r="O332" i="20"/>
  <c r="N332" i="20"/>
  <c r="L332" i="20"/>
  <c r="K332" i="20"/>
  <c r="J332" i="20"/>
  <c r="I332" i="20"/>
  <c r="H332" i="20"/>
  <c r="M331" i="20"/>
  <c r="G331" i="20"/>
  <c r="M330" i="20"/>
  <c r="G330" i="20"/>
  <c r="M329" i="20"/>
  <c r="G329" i="20"/>
  <c r="N328" i="20"/>
  <c r="M328" i="20" s="1"/>
  <c r="G328" i="20"/>
  <c r="M327" i="20"/>
  <c r="G327" i="20"/>
  <c r="Y326" i="20"/>
  <c r="X326" i="20"/>
  <c r="W326" i="20"/>
  <c r="V326" i="20"/>
  <c r="U326" i="20"/>
  <c r="T326" i="20"/>
  <c r="S326" i="20"/>
  <c r="R326" i="20"/>
  <c r="Q326" i="20"/>
  <c r="P326" i="20"/>
  <c r="O326" i="20"/>
  <c r="L326" i="20"/>
  <c r="K326" i="20"/>
  <c r="J326" i="20"/>
  <c r="I326" i="20"/>
  <c r="H326" i="20"/>
  <c r="M325" i="20"/>
  <c r="G325" i="20"/>
  <c r="Y324" i="20"/>
  <c r="X324" i="20"/>
  <c r="W324" i="20"/>
  <c r="V324" i="20"/>
  <c r="U324" i="20"/>
  <c r="T324" i="20"/>
  <c r="S324" i="20"/>
  <c r="R324" i="20"/>
  <c r="Q324" i="20"/>
  <c r="P324" i="20"/>
  <c r="O324" i="20"/>
  <c r="N324" i="20"/>
  <c r="L324" i="20"/>
  <c r="K324" i="20"/>
  <c r="J324" i="20"/>
  <c r="I324" i="20"/>
  <c r="H324" i="20"/>
  <c r="M322" i="20"/>
  <c r="G322" i="20"/>
  <c r="M321" i="20"/>
  <c r="G321" i="20"/>
  <c r="Y320" i="20"/>
  <c r="X320" i="20"/>
  <c r="W320" i="20"/>
  <c r="V320" i="20"/>
  <c r="U320" i="20"/>
  <c r="T320" i="20"/>
  <c r="S320" i="20"/>
  <c r="R320" i="20"/>
  <c r="Q320" i="20"/>
  <c r="P320" i="20"/>
  <c r="O320" i="20"/>
  <c r="N320" i="20"/>
  <c r="L320" i="20"/>
  <c r="K320" i="20"/>
  <c r="J320" i="20"/>
  <c r="I320" i="20"/>
  <c r="H320" i="20"/>
  <c r="R319" i="20"/>
  <c r="R316" i="20" s="1"/>
  <c r="N319" i="20"/>
  <c r="G319" i="20"/>
  <c r="X318" i="20"/>
  <c r="X316" i="20" s="1"/>
  <c r="N318" i="20"/>
  <c r="G318" i="20"/>
  <c r="M317" i="20"/>
  <c r="G317" i="20"/>
  <c r="Y316" i="20"/>
  <c r="W316" i="20"/>
  <c r="V316" i="20"/>
  <c r="U316" i="20"/>
  <c r="T316" i="20"/>
  <c r="S316" i="20"/>
  <c r="Q316" i="20"/>
  <c r="P316" i="20"/>
  <c r="O316" i="20"/>
  <c r="L316" i="20"/>
  <c r="K316" i="20"/>
  <c r="J316" i="20"/>
  <c r="I316" i="20"/>
  <c r="H316" i="20"/>
  <c r="M315" i="20"/>
  <c r="G315" i="20"/>
  <c r="Y314" i="20"/>
  <c r="X314" i="20"/>
  <c r="W314" i="20"/>
  <c r="V314" i="20"/>
  <c r="U314" i="20"/>
  <c r="T314" i="20"/>
  <c r="S314" i="20"/>
  <c r="R314" i="20"/>
  <c r="Q314" i="20"/>
  <c r="P314" i="20"/>
  <c r="O314" i="20"/>
  <c r="N314" i="20"/>
  <c r="L314" i="20"/>
  <c r="K314" i="20"/>
  <c r="J314" i="20"/>
  <c r="I314" i="20"/>
  <c r="H314" i="20"/>
  <c r="M313" i="20"/>
  <c r="G313" i="20"/>
  <c r="M312" i="20"/>
  <c r="G312" i="20"/>
  <c r="M311" i="20"/>
  <c r="G311" i="20"/>
  <c r="M310" i="20"/>
  <c r="G310" i="20"/>
  <c r="M309" i="20"/>
  <c r="G309" i="20"/>
  <c r="M308" i="20"/>
  <c r="G308" i="20"/>
  <c r="M307" i="20"/>
  <c r="G307" i="20"/>
  <c r="M306" i="20"/>
  <c r="G306" i="20"/>
  <c r="M305" i="20"/>
  <c r="G305" i="20"/>
  <c r="M304" i="20"/>
  <c r="G304" i="20"/>
  <c r="M303" i="20"/>
  <c r="H303" i="20"/>
  <c r="G303" i="20" s="1"/>
  <c r="M302" i="20"/>
  <c r="H302" i="20"/>
  <c r="G302" i="20" s="1"/>
  <c r="Y301" i="20"/>
  <c r="X301" i="20"/>
  <c r="W301" i="20"/>
  <c r="V301" i="20"/>
  <c r="U301" i="20"/>
  <c r="T301" i="20"/>
  <c r="S301" i="20"/>
  <c r="R301" i="20"/>
  <c r="Q301" i="20"/>
  <c r="P301" i="20"/>
  <c r="O301" i="20"/>
  <c r="N301" i="20"/>
  <c r="L301" i="20"/>
  <c r="K301" i="20"/>
  <c r="J301" i="20"/>
  <c r="I301" i="20"/>
  <c r="M299" i="20"/>
  <c r="G299" i="20"/>
  <c r="M298" i="20"/>
  <c r="G298" i="20"/>
  <c r="M297" i="20"/>
  <c r="G297" i="20"/>
  <c r="X296" i="20"/>
  <c r="T296" i="20"/>
  <c r="T292" i="20" s="1"/>
  <c r="G296" i="20"/>
  <c r="W295" i="20"/>
  <c r="Q295" i="20"/>
  <c r="G295" i="20"/>
  <c r="M294" i="20"/>
  <c r="G294" i="20"/>
  <c r="X293" i="20"/>
  <c r="W293" i="20"/>
  <c r="G293" i="20"/>
  <c r="Y292" i="20"/>
  <c r="X292" i="20"/>
  <c r="V292" i="20"/>
  <c r="U292" i="20"/>
  <c r="S292" i="20"/>
  <c r="R292" i="20"/>
  <c r="P292" i="20"/>
  <c r="O292" i="20"/>
  <c r="N292" i="20"/>
  <c r="L292" i="20"/>
  <c r="K292" i="20"/>
  <c r="J292" i="20"/>
  <c r="I292" i="20"/>
  <c r="H292" i="20"/>
  <c r="M291" i="20"/>
  <c r="G291" i="20"/>
  <c r="M290" i="20"/>
  <c r="G290" i="20"/>
  <c r="M289" i="20"/>
  <c r="G289" i="20"/>
  <c r="M288" i="20"/>
  <c r="G288" i="20"/>
  <c r="X287" i="20"/>
  <c r="M287" i="20" s="1"/>
  <c r="G287" i="20"/>
  <c r="X286" i="20"/>
  <c r="Q286" i="20"/>
  <c r="G286" i="20"/>
  <c r="Y285" i="20"/>
  <c r="W285" i="20"/>
  <c r="V285" i="20"/>
  <c r="U285" i="20"/>
  <c r="T285" i="20"/>
  <c r="S285" i="20"/>
  <c r="R285" i="20"/>
  <c r="P285" i="20"/>
  <c r="O285" i="20"/>
  <c r="N285" i="20"/>
  <c r="L285" i="20"/>
  <c r="K285" i="20"/>
  <c r="J285" i="20"/>
  <c r="I285" i="20"/>
  <c r="H285" i="20"/>
  <c r="M284" i="20"/>
  <c r="G284" i="20"/>
  <c r="M283" i="20"/>
  <c r="G283" i="20"/>
  <c r="M282" i="20"/>
  <c r="G282" i="20"/>
  <c r="G281" i="20"/>
  <c r="F281" i="20" s="1"/>
  <c r="G280" i="20"/>
  <c r="F280" i="20" s="1"/>
  <c r="Y279" i="20"/>
  <c r="X279" i="20"/>
  <c r="W279" i="20"/>
  <c r="V279" i="20"/>
  <c r="U279" i="20"/>
  <c r="T279" i="20"/>
  <c r="S279" i="20"/>
  <c r="R279" i="20"/>
  <c r="Q279" i="20"/>
  <c r="P279" i="20"/>
  <c r="O279" i="20"/>
  <c r="N279" i="20"/>
  <c r="L279" i="20"/>
  <c r="K279" i="20"/>
  <c r="J279" i="20"/>
  <c r="I279" i="20"/>
  <c r="H279" i="20"/>
  <c r="M278" i="20"/>
  <c r="G278" i="20"/>
  <c r="X277" i="20"/>
  <c r="X274" i="20" s="1"/>
  <c r="W277" i="20"/>
  <c r="G277" i="20"/>
  <c r="M276" i="20"/>
  <c r="G276" i="20"/>
  <c r="M275" i="20"/>
  <c r="G275" i="20"/>
  <c r="Y274" i="20"/>
  <c r="V274" i="20"/>
  <c r="U274" i="20"/>
  <c r="T274" i="20"/>
  <c r="S274" i="20"/>
  <c r="R274" i="20"/>
  <c r="Q274" i="20"/>
  <c r="P274" i="20"/>
  <c r="O274" i="20"/>
  <c r="N274" i="20"/>
  <c r="L274" i="20"/>
  <c r="K274" i="20"/>
  <c r="J274" i="20"/>
  <c r="I274" i="20"/>
  <c r="H274" i="20"/>
  <c r="M273" i="20"/>
  <c r="G273" i="20"/>
  <c r="M272" i="20"/>
  <c r="G272" i="20"/>
  <c r="M271" i="20"/>
  <c r="G271" i="20"/>
  <c r="Y270" i="20"/>
  <c r="X270" i="20"/>
  <c r="W270" i="20"/>
  <c r="V270" i="20"/>
  <c r="U270" i="20"/>
  <c r="T270" i="20"/>
  <c r="S270" i="20"/>
  <c r="R270" i="20"/>
  <c r="Q270" i="20"/>
  <c r="P270" i="20"/>
  <c r="O270" i="20"/>
  <c r="N270" i="20"/>
  <c r="L270" i="20"/>
  <c r="K270" i="20"/>
  <c r="J270" i="20"/>
  <c r="I270" i="20"/>
  <c r="H270" i="20"/>
  <c r="M269" i="20"/>
  <c r="G269" i="20"/>
  <c r="Y268" i="20"/>
  <c r="X268" i="20"/>
  <c r="W268" i="20"/>
  <c r="V268" i="20"/>
  <c r="U268" i="20"/>
  <c r="T268" i="20"/>
  <c r="S268" i="20"/>
  <c r="R268" i="20"/>
  <c r="Q268" i="20"/>
  <c r="P268" i="20"/>
  <c r="O268" i="20"/>
  <c r="N268" i="20"/>
  <c r="L268" i="20"/>
  <c r="K268" i="20"/>
  <c r="J268" i="20"/>
  <c r="I268" i="20"/>
  <c r="H268" i="20"/>
  <c r="M267" i="20"/>
  <c r="G267" i="20"/>
  <c r="M266" i="20"/>
  <c r="G266" i="20"/>
  <c r="M265" i="20"/>
  <c r="G265" i="20"/>
  <c r="M264" i="20"/>
  <c r="G264" i="20"/>
  <c r="M263" i="20"/>
  <c r="G263" i="20"/>
  <c r="M262" i="20"/>
  <c r="G262" i="20"/>
  <c r="Y261" i="20"/>
  <c r="X261" i="20"/>
  <c r="W261" i="20"/>
  <c r="V261" i="20"/>
  <c r="U261" i="20"/>
  <c r="T261" i="20"/>
  <c r="S261" i="20"/>
  <c r="R261" i="20"/>
  <c r="Q261" i="20"/>
  <c r="P261" i="20"/>
  <c r="O261" i="20"/>
  <c r="N261" i="20"/>
  <c r="L261" i="20"/>
  <c r="K261" i="20"/>
  <c r="J261" i="20"/>
  <c r="I261" i="20"/>
  <c r="H261" i="20"/>
  <c r="M260" i="20"/>
  <c r="G260" i="20"/>
  <c r="M259" i="20"/>
  <c r="G259" i="20"/>
  <c r="M258" i="20"/>
  <c r="G258" i="20"/>
  <c r="M257" i="20"/>
  <c r="G257" i="20"/>
  <c r="M256" i="20"/>
  <c r="G256" i="20"/>
  <c r="M255" i="20"/>
  <c r="G255" i="20"/>
  <c r="M254" i="20"/>
  <c r="G254" i="20"/>
  <c r="M253" i="20"/>
  <c r="G253" i="20"/>
  <c r="M252" i="20"/>
  <c r="G252" i="20"/>
  <c r="M251" i="20"/>
  <c r="G251" i="20"/>
  <c r="M250" i="20"/>
  <c r="G250" i="20"/>
  <c r="Y249" i="20"/>
  <c r="Y247" i="20" s="1"/>
  <c r="U249" i="20"/>
  <c r="G249" i="20"/>
  <c r="M248" i="20"/>
  <c r="G248" i="20"/>
  <c r="X247" i="20"/>
  <c r="W247" i="20"/>
  <c r="V247" i="20"/>
  <c r="T247" i="20"/>
  <c r="S247" i="20"/>
  <c r="R247" i="20"/>
  <c r="Q247" i="20"/>
  <c r="P247" i="20"/>
  <c r="O247" i="20"/>
  <c r="N247" i="20"/>
  <c r="L247" i="20"/>
  <c r="K247" i="20"/>
  <c r="J247" i="20"/>
  <c r="I247" i="20"/>
  <c r="H247" i="20"/>
  <c r="M246" i="20"/>
  <c r="G246" i="20"/>
  <c r="M245" i="20"/>
  <c r="H245" i="20"/>
  <c r="G245" i="20" s="1"/>
  <c r="M244" i="20"/>
  <c r="H244" i="20"/>
  <c r="G244" i="20" s="1"/>
  <c r="M243" i="20"/>
  <c r="G243" i="20"/>
  <c r="M242" i="20"/>
  <c r="G242" i="20"/>
  <c r="Y241" i="20"/>
  <c r="X241" i="20"/>
  <c r="W241" i="20"/>
  <c r="V241" i="20"/>
  <c r="U241" i="20"/>
  <c r="T241" i="20"/>
  <c r="S241" i="20"/>
  <c r="R241" i="20"/>
  <c r="Q241" i="20"/>
  <c r="P241" i="20"/>
  <c r="O241" i="20"/>
  <c r="N241" i="20"/>
  <c r="L241" i="20"/>
  <c r="J47" i="26" s="1"/>
  <c r="K241" i="20"/>
  <c r="I47" i="26" s="1"/>
  <c r="J241" i="20"/>
  <c r="H47" i="26" s="1"/>
  <c r="I241" i="20"/>
  <c r="G47" i="26" s="1"/>
  <c r="M240" i="20"/>
  <c r="G240" i="20"/>
  <c r="M239" i="20"/>
  <c r="G239" i="20"/>
  <c r="M238" i="20"/>
  <c r="G238" i="20"/>
  <c r="M237" i="20"/>
  <c r="G237" i="20"/>
  <c r="M236" i="20"/>
  <c r="G236" i="20"/>
  <c r="M235" i="20"/>
  <c r="G235" i="20"/>
  <c r="M234" i="20"/>
  <c r="G234" i="20"/>
  <c r="Y233" i="20"/>
  <c r="X233" i="20"/>
  <c r="W233" i="20"/>
  <c r="V233" i="20"/>
  <c r="U233" i="20"/>
  <c r="T233" i="20"/>
  <c r="S233" i="20"/>
  <c r="R233" i="20"/>
  <c r="Q233" i="20"/>
  <c r="P233" i="20"/>
  <c r="O233" i="20"/>
  <c r="N233" i="20"/>
  <c r="L233" i="20"/>
  <c r="K233" i="20"/>
  <c r="J233" i="20"/>
  <c r="I233" i="20"/>
  <c r="H233" i="20"/>
  <c r="M232" i="20"/>
  <c r="G232" i="20"/>
  <c r="M231" i="20"/>
  <c r="G231" i="20"/>
  <c r="Y230" i="20"/>
  <c r="X230" i="20"/>
  <c r="W230" i="20"/>
  <c r="V230" i="20"/>
  <c r="U230" i="20"/>
  <c r="T230" i="20"/>
  <c r="S230" i="20"/>
  <c r="R230" i="20"/>
  <c r="Q230" i="20"/>
  <c r="P230" i="20"/>
  <c r="O230" i="20"/>
  <c r="N230" i="20"/>
  <c r="L230" i="20"/>
  <c r="K230" i="20"/>
  <c r="J230" i="20"/>
  <c r="I230" i="20"/>
  <c r="H230" i="20"/>
  <c r="M228" i="20"/>
  <c r="G228" i="20"/>
  <c r="M227" i="20"/>
  <c r="G227" i="20"/>
  <c r="M226" i="20"/>
  <c r="G226" i="20"/>
  <c r="Y225" i="20"/>
  <c r="X225" i="20"/>
  <c r="W225" i="20"/>
  <c r="V225" i="20"/>
  <c r="U225" i="20"/>
  <c r="T225" i="20"/>
  <c r="S225" i="20"/>
  <c r="R225" i="20"/>
  <c r="Q225" i="20"/>
  <c r="P225" i="20"/>
  <c r="O225" i="20"/>
  <c r="N225" i="20"/>
  <c r="L225" i="20"/>
  <c r="K225" i="20"/>
  <c r="J225" i="20"/>
  <c r="I225" i="20"/>
  <c r="H225" i="20"/>
  <c r="M224" i="20"/>
  <c r="G224" i="20"/>
  <c r="M223" i="20"/>
  <c r="G223" i="20"/>
  <c r="M222" i="20"/>
  <c r="G222" i="20"/>
  <c r="M221" i="20"/>
  <c r="G221" i="20"/>
  <c r="M220" i="20"/>
  <c r="G220" i="20"/>
  <c r="M219" i="20"/>
  <c r="G219" i="20"/>
  <c r="M218" i="20"/>
  <c r="G218" i="20"/>
  <c r="M217" i="20"/>
  <c r="G217" i="20"/>
  <c r="M216" i="20"/>
  <c r="G216" i="20"/>
  <c r="M215" i="20"/>
  <c r="G215" i="20"/>
  <c r="Y214" i="20"/>
  <c r="X214" i="20"/>
  <c r="W214" i="20"/>
  <c r="V214" i="20"/>
  <c r="U214" i="20"/>
  <c r="T214" i="20"/>
  <c r="S214" i="20"/>
  <c r="R214" i="20"/>
  <c r="Q214" i="20"/>
  <c r="P214" i="20"/>
  <c r="O214" i="20"/>
  <c r="N214" i="20"/>
  <c r="L214" i="20"/>
  <c r="K214" i="20"/>
  <c r="J214" i="20"/>
  <c r="I214" i="20"/>
  <c r="H214" i="20"/>
  <c r="S212" i="20"/>
  <c r="M212" i="20" s="1"/>
  <c r="G212" i="20"/>
  <c r="M211" i="20"/>
  <c r="G211" i="20"/>
  <c r="M210" i="20"/>
  <c r="G210" i="20"/>
  <c r="M209" i="20"/>
  <c r="G209" i="20"/>
  <c r="M208" i="20"/>
  <c r="G208" i="20"/>
  <c r="M207" i="20"/>
  <c r="G207" i="20"/>
  <c r="M206" i="20"/>
  <c r="G206" i="20"/>
  <c r="M205" i="20"/>
  <c r="G205" i="20"/>
  <c r="M204" i="20"/>
  <c r="G204" i="20"/>
  <c r="M203" i="20"/>
  <c r="G203" i="20"/>
  <c r="M202" i="20"/>
  <c r="G202" i="20"/>
  <c r="M201" i="20"/>
  <c r="G201" i="20"/>
  <c r="M200" i="20"/>
  <c r="G200" i="20"/>
  <c r="M199" i="20"/>
  <c r="G199" i="20"/>
  <c r="M198" i="20"/>
  <c r="G198" i="20"/>
  <c r="M197" i="20"/>
  <c r="G197" i="20"/>
  <c r="M196" i="20"/>
  <c r="G196" i="20"/>
  <c r="M195" i="20"/>
  <c r="G195" i="20"/>
  <c r="M194" i="20"/>
  <c r="G194" i="20"/>
  <c r="M193" i="20"/>
  <c r="G193" i="20"/>
  <c r="M192" i="20"/>
  <c r="G192" i="20"/>
  <c r="Y191" i="20"/>
  <c r="X191" i="20"/>
  <c r="W191" i="20"/>
  <c r="V191" i="20"/>
  <c r="U191" i="20"/>
  <c r="T191" i="20"/>
  <c r="R191" i="20"/>
  <c r="Q191" i="20"/>
  <c r="P191" i="20"/>
  <c r="O191" i="20"/>
  <c r="N191" i="20"/>
  <c r="L191" i="20"/>
  <c r="K191" i="20"/>
  <c r="J191" i="20"/>
  <c r="I191" i="20"/>
  <c r="H191" i="20"/>
  <c r="M190" i="20"/>
  <c r="L190" i="20"/>
  <c r="G190" i="20" s="1"/>
  <c r="M189" i="20"/>
  <c r="G189" i="20"/>
  <c r="M188" i="20"/>
  <c r="G188" i="20"/>
  <c r="M187" i="20"/>
  <c r="G187" i="20"/>
  <c r="M186" i="20"/>
  <c r="L186" i="20"/>
  <c r="Y185" i="20"/>
  <c r="X185" i="20"/>
  <c r="W185" i="20"/>
  <c r="V185" i="20"/>
  <c r="U185" i="20"/>
  <c r="T185" i="20"/>
  <c r="S185" i="20"/>
  <c r="R185" i="20"/>
  <c r="Q185" i="20"/>
  <c r="P185" i="20"/>
  <c r="O185" i="20"/>
  <c r="N185" i="20"/>
  <c r="K185" i="20"/>
  <c r="J185" i="20"/>
  <c r="I185" i="20"/>
  <c r="H185" i="20"/>
  <c r="M184" i="20"/>
  <c r="G184" i="20"/>
  <c r="M183" i="20"/>
  <c r="G183" i="20"/>
  <c r="M182" i="20"/>
  <c r="G182" i="20"/>
  <c r="M181" i="20"/>
  <c r="G181" i="20"/>
  <c r="M180" i="20"/>
  <c r="G180" i="20"/>
  <c r="Y179" i="20"/>
  <c r="X179" i="20"/>
  <c r="W179" i="20"/>
  <c r="V179" i="20"/>
  <c r="U179" i="20"/>
  <c r="T179" i="20"/>
  <c r="S179" i="20"/>
  <c r="R179" i="20"/>
  <c r="Q179" i="20"/>
  <c r="P179" i="20"/>
  <c r="O179" i="20"/>
  <c r="N179" i="20"/>
  <c r="L179" i="20"/>
  <c r="K179" i="20"/>
  <c r="J179" i="20"/>
  <c r="I179" i="20"/>
  <c r="H179" i="20"/>
  <c r="M178" i="20"/>
  <c r="G178" i="20"/>
  <c r="M177" i="20"/>
  <c r="G177" i="20"/>
  <c r="M176" i="20"/>
  <c r="G176" i="20"/>
  <c r="M175" i="20"/>
  <c r="G175" i="20"/>
  <c r="M174" i="20"/>
  <c r="G174" i="20"/>
  <c r="M173" i="20"/>
  <c r="G173" i="20"/>
  <c r="M172" i="20"/>
  <c r="G172" i="20"/>
  <c r="Y171" i="20"/>
  <c r="Y167" i="20" s="1"/>
  <c r="X171" i="20"/>
  <c r="X167" i="20" s="1"/>
  <c r="W171" i="20"/>
  <c r="W167" i="20" s="1"/>
  <c r="V171" i="20"/>
  <c r="V167" i="20" s="1"/>
  <c r="U171" i="20"/>
  <c r="U167" i="20" s="1"/>
  <c r="T171" i="20"/>
  <c r="T167" i="20" s="1"/>
  <c r="S171" i="20"/>
  <c r="S167" i="20" s="1"/>
  <c r="R171" i="20"/>
  <c r="R167" i="20" s="1"/>
  <c r="Q171" i="20"/>
  <c r="Q167" i="20" s="1"/>
  <c r="P171" i="20"/>
  <c r="P167" i="20" s="1"/>
  <c r="O171" i="20"/>
  <c r="O167" i="20" s="1"/>
  <c r="N171" i="20"/>
  <c r="G171" i="20"/>
  <c r="N170" i="20"/>
  <c r="M170" i="20" s="1"/>
  <c r="G170" i="20"/>
  <c r="M169" i="20"/>
  <c r="G169" i="20"/>
  <c r="M168" i="20"/>
  <c r="G168" i="20"/>
  <c r="L167" i="20"/>
  <c r="K167" i="20"/>
  <c r="J167" i="20"/>
  <c r="I167" i="20"/>
  <c r="H167" i="20"/>
  <c r="M166" i="20"/>
  <c r="G166" i="20"/>
  <c r="M165" i="20"/>
  <c r="G165" i="20"/>
  <c r="M164" i="20"/>
  <c r="G164" i="20"/>
  <c r="M163" i="20"/>
  <c r="G163" i="20"/>
  <c r="R162" i="20"/>
  <c r="R151" i="20" s="1"/>
  <c r="N162" i="20"/>
  <c r="G162" i="20"/>
  <c r="M161" i="20"/>
  <c r="G161" i="20"/>
  <c r="M160" i="20"/>
  <c r="G160" i="20"/>
  <c r="M159" i="20"/>
  <c r="G159" i="20"/>
  <c r="M158" i="20"/>
  <c r="G158" i="20"/>
  <c r="M157" i="20"/>
  <c r="G157" i="20"/>
  <c r="X156" i="20"/>
  <c r="M156" i="20" s="1"/>
  <c r="G156" i="20"/>
  <c r="M155" i="20"/>
  <c r="G155" i="20"/>
  <c r="X154" i="20"/>
  <c r="X151" i="20" s="1"/>
  <c r="P154" i="20"/>
  <c r="N154" i="20"/>
  <c r="G154" i="20"/>
  <c r="N153" i="20"/>
  <c r="G153" i="20"/>
  <c r="P152" i="20"/>
  <c r="M152" i="20" s="1"/>
  <c r="G152" i="20"/>
  <c r="Y151" i="20"/>
  <c r="W151" i="20"/>
  <c r="V151" i="20"/>
  <c r="U151" i="20"/>
  <c r="T151" i="20"/>
  <c r="S151" i="20"/>
  <c r="Q151" i="20"/>
  <c r="O151" i="20"/>
  <c r="L151" i="20"/>
  <c r="K151" i="20"/>
  <c r="J151" i="20"/>
  <c r="I151" i="20"/>
  <c r="H151" i="20"/>
  <c r="M149" i="20"/>
  <c r="G149" i="20"/>
  <c r="M148" i="20"/>
  <c r="G148" i="20"/>
  <c r="M147" i="20"/>
  <c r="G147" i="20"/>
  <c r="M146" i="20"/>
  <c r="G146" i="20"/>
  <c r="M145" i="20"/>
  <c r="G145" i="20"/>
  <c r="M144" i="20"/>
  <c r="G144" i="20"/>
  <c r="M143" i="20"/>
  <c r="G143" i="20"/>
  <c r="M142" i="20"/>
  <c r="G142" i="20"/>
  <c r="M141" i="20"/>
  <c r="G141" i="20"/>
  <c r="M140" i="20"/>
  <c r="G140" i="20"/>
  <c r="M139" i="20"/>
  <c r="G139" i="20"/>
  <c r="M138" i="20"/>
  <c r="G138" i="20"/>
  <c r="M137" i="20"/>
  <c r="G137" i="20"/>
  <c r="M136" i="20"/>
  <c r="G136" i="20"/>
  <c r="M135" i="20"/>
  <c r="G135" i="20"/>
  <c r="M134" i="20"/>
  <c r="G134" i="20"/>
  <c r="Y133" i="20"/>
  <c r="X133" i="20"/>
  <c r="W133" i="20"/>
  <c r="V133" i="20"/>
  <c r="U133" i="20"/>
  <c r="T133" i="20"/>
  <c r="S133" i="20"/>
  <c r="R133" i="20"/>
  <c r="Q133" i="20"/>
  <c r="P133" i="20"/>
  <c r="O133" i="20"/>
  <c r="N133" i="20"/>
  <c r="L133" i="20"/>
  <c r="K133" i="20"/>
  <c r="J133" i="20"/>
  <c r="I133" i="20"/>
  <c r="H133" i="20"/>
  <c r="M132" i="20"/>
  <c r="G132" i="20"/>
  <c r="M131" i="20"/>
  <c r="G131" i="20"/>
  <c r="M130" i="20"/>
  <c r="G130" i="20"/>
  <c r="M129" i="20"/>
  <c r="G129" i="20"/>
  <c r="M128" i="20"/>
  <c r="G128" i="20"/>
  <c r="X127" i="20"/>
  <c r="M127" i="20" s="1"/>
  <c r="G127" i="20"/>
  <c r="M126" i="20"/>
  <c r="G126" i="20"/>
  <c r="M125" i="20"/>
  <c r="G125" i="20"/>
  <c r="Y124" i="20"/>
  <c r="W124" i="20"/>
  <c r="V124" i="20"/>
  <c r="U124" i="20"/>
  <c r="T124" i="20"/>
  <c r="S124" i="20"/>
  <c r="R124" i="20"/>
  <c r="Q124" i="20"/>
  <c r="P124" i="20"/>
  <c r="O124" i="20"/>
  <c r="N124" i="20"/>
  <c r="L124" i="20"/>
  <c r="K124" i="20"/>
  <c r="J124" i="20"/>
  <c r="I124" i="20"/>
  <c r="H124" i="20"/>
  <c r="M123" i="20"/>
  <c r="G123" i="20"/>
  <c r="M122" i="20"/>
  <c r="G122" i="20"/>
  <c r="O121" i="20"/>
  <c r="O120" i="20" s="1"/>
  <c r="O85" i="20" s="1"/>
  <c r="G121" i="20"/>
  <c r="H120" i="20"/>
  <c r="F32" i="26" s="1"/>
  <c r="F27" i="26" s="1"/>
  <c r="M119" i="20"/>
  <c r="G119" i="20"/>
  <c r="M118" i="20"/>
  <c r="G118" i="20"/>
  <c r="M117" i="20"/>
  <c r="G117" i="20"/>
  <c r="M116" i="20"/>
  <c r="G116" i="20"/>
  <c r="M115" i="20"/>
  <c r="G115" i="20"/>
  <c r="M114" i="20"/>
  <c r="G114" i="20"/>
  <c r="M113" i="20"/>
  <c r="G113" i="20"/>
  <c r="M112" i="20"/>
  <c r="G112" i="20"/>
  <c r="M110" i="20"/>
  <c r="G110" i="20"/>
  <c r="M109" i="20"/>
  <c r="G109" i="20"/>
  <c r="M108" i="20"/>
  <c r="G108" i="20"/>
  <c r="M107" i="20"/>
  <c r="G107" i="20"/>
  <c r="M106" i="20"/>
  <c r="G106" i="20"/>
  <c r="M104" i="20"/>
  <c r="G104" i="20"/>
  <c r="M103" i="20"/>
  <c r="G103" i="20"/>
  <c r="M102" i="20"/>
  <c r="G102" i="20"/>
  <c r="M101" i="20"/>
  <c r="G101" i="20"/>
  <c r="M100" i="20"/>
  <c r="G100" i="20"/>
  <c r="X99" i="20"/>
  <c r="X93" i="20" s="1"/>
  <c r="X85" i="20" s="1"/>
  <c r="V99" i="20"/>
  <c r="V93" i="20" s="1"/>
  <c r="V85" i="20" s="1"/>
  <c r="S99" i="20"/>
  <c r="S93" i="20" s="1"/>
  <c r="S85" i="20" s="1"/>
  <c r="R99" i="20"/>
  <c r="R93" i="20" s="1"/>
  <c r="R85" i="20" s="1"/>
  <c r="P99" i="20"/>
  <c r="P93" i="20" s="1"/>
  <c r="P85" i="20" s="1"/>
  <c r="N99" i="20"/>
  <c r="N93" i="20" s="1"/>
  <c r="N85" i="20" s="1"/>
  <c r="G99" i="20"/>
  <c r="M98" i="20"/>
  <c r="G98" i="20"/>
  <c r="M97" i="20"/>
  <c r="G97" i="20"/>
  <c r="M96" i="20"/>
  <c r="G96" i="20"/>
  <c r="M95" i="20"/>
  <c r="G95" i="20"/>
  <c r="M94" i="20"/>
  <c r="G94" i="20"/>
  <c r="M92" i="20"/>
  <c r="G92" i="20"/>
  <c r="M91" i="20"/>
  <c r="G91" i="20"/>
  <c r="M90" i="20"/>
  <c r="G90" i="20"/>
  <c r="M89" i="20"/>
  <c r="G89" i="20"/>
  <c r="M88" i="20"/>
  <c r="G88" i="20"/>
  <c r="M87" i="20"/>
  <c r="G87" i="20"/>
  <c r="M84" i="20"/>
  <c r="G84" i="20"/>
  <c r="M83" i="20"/>
  <c r="G83" i="20"/>
  <c r="M82" i="20"/>
  <c r="G82" i="20"/>
  <c r="M81" i="20"/>
  <c r="G81" i="20"/>
  <c r="M80" i="20"/>
  <c r="G80" i="20"/>
  <c r="M79" i="20"/>
  <c r="G79" i="20"/>
  <c r="M78" i="20"/>
  <c r="G78" i="20"/>
  <c r="M77" i="20"/>
  <c r="G77" i="20"/>
  <c r="M76" i="20"/>
  <c r="G76" i="20"/>
  <c r="M75" i="20"/>
  <c r="G75" i="20"/>
  <c r="M74" i="20"/>
  <c r="G74" i="20"/>
  <c r="M73" i="20"/>
  <c r="G73" i="20"/>
  <c r="M72" i="20"/>
  <c r="G72" i="20"/>
  <c r="M71" i="20"/>
  <c r="G71" i="20"/>
  <c r="M70" i="20"/>
  <c r="G70" i="20"/>
  <c r="M69" i="20"/>
  <c r="G69" i="20"/>
  <c r="M68" i="20"/>
  <c r="G68" i="20"/>
  <c r="M67" i="20"/>
  <c r="G67" i="20"/>
  <c r="M66" i="20"/>
  <c r="G66" i="20"/>
  <c r="Y65" i="20"/>
  <c r="X65" i="20"/>
  <c r="W65" i="20"/>
  <c r="V65" i="20"/>
  <c r="U65" i="20"/>
  <c r="T65" i="20"/>
  <c r="S65" i="20"/>
  <c r="R65" i="20"/>
  <c r="Q65" i="20"/>
  <c r="P65" i="20"/>
  <c r="O65" i="20"/>
  <c r="N65" i="20"/>
  <c r="L65" i="20"/>
  <c r="K65" i="20"/>
  <c r="J65" i="20"/>
  <c r="I65" i="20"/>
  <c r="H65" i="20"/>
  <c r="M64" i="20"/>
  <c r="H64" i="20"/>
  <c r="G64" i="20" s="1"/>
  <c r="M63" i="20"/>
  <c r="G63" i="20"/>
  <c r="M62" i="20"/>
  <c r="G62" i="20"/>
  <c r="M61" i="20"/>
  <c r="H61" i="20"/>
  <c r="M60" i="20"/>
  <c r="G60" i="20"/>
  <c r="M59" i="20"/>
  <c r="G59" i="20"/>
  <c r="M58" i="20"/>
  <c r="G58" i="20"/>
  <c r="M57" i="20"/>
  <c r="G57" i="20"/>
  <c r="M56" i="20"/>
  <c r="G56" i="20"/>
  <c r="M55" i="20"/>
  <c r="G55" i="20"/>
  <c r="Y54" i="20"/>
  <c r="X54" i="20"/>
  <c r="W54" i="20"/>
  <c r="V54" i="20"/>
  <c r="U54" i="20"/>
  <c r="T54" i="20"/>
  <c r="S54" i="20"/>
  <c r="R54" i="20"/>
  <c r="Q54" i="20"/>
  <c r="P54" i="20"/>
  <c r="O54" i="20"/>
  <c r="N54" i="20"/>
  <c r="L54" i="20"/>
  <c r="K54" i="20"/>
  <c r="J54" i="20"/>
  <c r="I54" i="20"/>
  <c r="M53" i="20"/>
  <c r="G53" i="20"/>
  <c r="M52" i="20"/>
  <c r="G52" i="20"/>
  <c r="M51" i="20"/>
  <c r="G51" i="20"/>
  <c r="M50" i="20"/>
  <c r="G50" i="20"/>
  <c r="M49" i="20"/>
  <c r="G49" i="20"/>
  <c r="M48" i="20"/>
  <c r="G48" i="20"/>
  <c r="M47" i="20"/>
  <c r="G47" i="20"/>
  <c r="Y46" i="20"/>
  <c r="X46" i="20"/>
  <c r="W46" i="20"/>
  <c r="V46" i="20"/>
  <c r="U46" i="20"/>
  <c r="T46" i="20"/>
  <c r="S46" i="20"/>
  <c r="R46" i="20"/>
  <c r="Q46" i="20"/>
  <c r="P46" i="20"/>
  <c r="O46" i="20"/>
  <c r="N46" i="20"/>
  <c r="L46" i="20"/>
  <c r="K46" i="20"/>
  <c r="J46" i="20"/>
  <c r="I46" i="20"/>
  <c r="H46" i="20"/>
  <c r="M45" i="20"/>
  <c r="G45" i="20"/>
  <c r="M44" i="20"/>
  <c r="G44" i="20"/>
  <c r="M43" i="20"/>
  <c r="G43" i="20"/>
  <c r="M42" i="20"/>
  <c r="G42" i="20"/>
  <c r="M41" i="20"/>
  <c r="G41" i="20"/>
  <c r="M40" i="20"/>
  <c r="G40" i="20"/>
  <c r="M39" i="20"/>
  <c r="G39" i="20"/>
  <c r="M38" i="20"/>
  <c r="G38" i="20"/>
  <c r="M37" i="20"/>
  <c r="G37" i="20"/>
  <c r="M36" i="20"/>
  <c r="G36" i="20"/>
  <c r="M35" i="20"/>
  <c r="G35" i="20"/>
  <c r="Y34" i="20"/>
  <c r="X34" i="20"/>
  <c r="W34" i="20"/>
  <c r="V34" i="20"/>
  <c r="U34" i="20"/>
  <c r="T34" i="20"/>
  <c r="S34" i="20"/>
  <c r="R34" i="20"/>
  <c r="Q34" i="20"/>
  <c r="P34" i="20"/>
  <c r="O34" i="20"/>
  <c r="N34" i="20"/>
  <c r="L34" i="20"/>
  <c r="K34" i="20"/>
  <c r="J34" i="20"/>
  <c r="I34" i="20"/>
  <c r="H34" i="20"/>
  <c r="M32" i="20"/>
  <c r="G32" i="20"/>
  <c r="M31" i="20"/>
  <c r="G31" i="20"/>
  <c r="Y30" i="20"/>
  <c r="X30" i="20"/>
  <c r="W30" i="20"/>
  <c r="V30" i="20"/>
  <c r="U30" i="20"/>
  <c r="T30" i="20"/>
  <c r="S30" i="20"/>
  <c r="R30" i="20"/>
  <c r="Q30" i="20"/>
  <c r="P30" i="20"/>
  <c r="O30" i="20"/>
  <c r="N30" i="20"/>
  <c r="L30" i="20"/>
  <c r="K30" i="20"/>
  <c r="J30" i="20"/>
  <c r="I30" i="20"/>
  <c r="H30" i="20"/>
  <c r="M29" i="20"/>
  <c r="G29" i="20"/>
  <c r="M28" i="20"/>
  <c r="G28" i="20"/>
  <c r="M27" i="20"/>
  <c r="G27" i="20"/>
  <c r="G26" i="20"/>
  <c r="M25" i="20"/>
  <c r="G25" i="20"/>
  <c r="M24" i="20"/>
  <c r="G24" i="20"/>
  <c r="M23" i="20"/>
  <c r="G23" i="20"/>
  <c r="M22" i="20"/>
  <c r="G22" i="20"/>
  <c r="M21" i="20"/>
  <c r="G21" i="20"/>
  <c r="Y20" i="20"/>
  <c r="X20" i="20"/>
  <c r="W20" i="20"/>
  <c r="V20" i="20"/>
  <c r="U20" i="20"/>
  <c r="T20" i="20"/>
  <c r="S20" i="20"/>
  <c r="R20" i="20"/>
  <c r="Q20" i="20"/>
  <c r="P20" i="20"/>
  <c r="O20" i="20"/>
  <c r="N20" i="20"/>
  <c r="L20" i="20"/>
  <c r="K20" i="20"/>
  <c r="J20" i="20"/>
  <c r="I20" i="20"/>
  <c r="H20" i="20"/>
  <c r="M17" i="20"/>
  <c r="G17" i="20"/>
  <c r="M16" i="20"/>
  <c r="G16" i="20"/>
  <c r="M15" i="20"/>
  <c r="G15" i="20"/>
  <c r="M14" i="20"/>
  <c r="G14" i="20"/>
  <c r="M13" i="20"/>
  <c r="G13" i="20"/>
  <c r="M12" i="20"/>
  <c r="G12" i="20"/>
  <c r="M11" i="20"/>
  <c r="G11" i="20"/>
  <c r="Y10" i="20"/>
  <c r="X10" i="20"/>
  <c r="W10" i="20"/>
  <c r="V10" i="20"/>
  <c r="U10" i="20"/>
  <c r="T10" i="20"/>
  <c r="S10" i="20"/>
  <c r="R10" i="20"/>
  <c r="Q10" i="20"/>
  <c r="P10" i="20"/>
  <c r="O10" i="20"/>
  <c r="N10" i="20"/>
  <c r="L10" i="20"/>
  <c r="K10" i="20"/>
  <c r="J10" i="20"/>
  <c r="I10" i="20"/>
  <c r="H10" i="20"/>
  <c r="G459" i="15"/>
  <c r="F459" i="15" s="1"/>
  <c r="G460" i="15"/>
  <c r="F460" i="15" s="1"/>
  <c r="G23" i="15"/>
  <c r="M23" i="15"/>
  <c r="D14" i="21" l="1"/>
  <c r="D12" i="21" s="1"/>
  <c r="H15" i="23"/>
  <c r="E13" i="23"/>
  <c r="M121" i="20"/>
  <c r="H301" i="20"/>
  <c r="J17" i="11"/>
  <c r="S36" i="19"/>
  <c r="S36" i="26"/>
  <c r="G18" i="19"/>
  <c r="G18" i="26"/>
  <c r="W18" i="19"/>
  <c r="W18" i="26"/>
  <c r="R20" i="19"/>
  <c r="R20" i="26"/>
  <c r="W21" i="19"/>
  <c r="W21" i="26"/>
  <c r="Q23" i="19"/>
  <c r="Q23" i="26"/>
  <c r="Y23" i="19"/>
  <c r="Y23" i="26"/>
  <c r="J24" i="19"/>
  <c r="J24" i="26"/>
  <c r="Z24" i="19"/>
  <c r="Z24" i="26"/>
  <c r="H25" i="19"/>
  <c r="H25" i="26"/>
  <c r="X25" i="19"/>
  <c r="X25" i="26"/>
  <c r="O26" i="19"/>
  <c r="O26" i="26"/>
  <c r="O33" i="19"/>
  <c r="O33" i="26"/>
  <c r="W33" i="19"/>
  <c r="W33" i="26"/>
  <c r="S34" i="19"/>
  <c r="S34" i="26"/>
  <c r="T36" i="19"/>
  <c r="T36" i="26"/>
  <c r="G37" i="19"/>
  <c r="G37" i="26"/>
  <c r="T37" i="19"/>
  <c r="T37" i="26"/>
  <c r="I38" i="19"/>
  <c r="I38" i="26"/>
  <c r="U38" i="19"/>
  <c r="U38" i="26"/>
  <c r="S39" i="19"/>
  <c r="S39" i="26"/>
  <c r="O40" i="19"/>
  <c r="O40" i="26"/>
  <c r="O42" i="19"/>
  <c r="O42" i="26"/>
  <c r="J43" i="19"/>
  <c r="J43" i="26"/>
  <c r="Z43" i="19"/>
  <c r="Z43" i="26"/>
  <c r="O45" i="19"/>
  <c r="O45" i="26"/>
  <c r="R46" i="19"/>
  <c r="R46" i="26"/>
  <c r="Z46" i="19"/>
  <c r="Z46" i="26"/>
  <c r="Q48" i="19"/>
  <c r="Q48" i="26"/>
  <c r="Z48" i="19"/>
  <c r="Z48" i="26"/>
  <c r="S49" i="19"/>
  <c r="S49" i="26"/>
  <c r="R50" i="19"/>
  <c r="R50" i="26"/>
  <c r="Z50" i="19"/>
  <c r="Z50" i="26"/>
  <c r="O51" i="19"/>
  <c r="O51" i="26"/>
  <c r="P52" i="19"/>
  <c r="P52" i="26"/>
  <c r="P53" i="19"/>
  <c r="P53" i="26"/>
  <c r="X53" i="19"/>
  <c r="X53" i="26"/>
  <c r="G54" i="19"/>
  <c r="G54" i="26"/>
  <c r="T54" i="19"/>
  <c r="T54" i="26"/>
  <c r="G55" i="19"/>
  <c r="G55" i="26"/>
  <c r="Z55" i="19"/>
  <c r="Z55" i="26"/>
  <c r="H57" i="19"/>
  <c r="H57" i="26"/>
  <c r="X57" i="19"/>
  <c r="X57" i="26"/>
  <c r="G58" i="19"/>
  <c r="G58" i="26"/>
  <c r="W58" i="19"/>
  <c r="W58" i="26"/>
  <c r="H59" i="19"/>
  <c r="H59" i="26"/>
  <c r="Y59" i="19"/>
  <c r="Y59" i="26"/>
  <c r="J60" i="19"/>
  <c r="J60" i="26"/>
  <c r="Z60" i="19"/>
  <c r="Z60" i="26"/>
  <c r="I62" i="19"/>
  <c r="I62" i="26"/>
  <c r="U62" i="19"/>
  <c r="U62" i="26"/>
  <c r="J63" i="19"/>
  <c r="J63" i="26"/>
  <c r="G64" i="19"/>
  <c r="G64" i="26"/>
  <c r="Y64" i="19"/>
  <c r="Y64" i="26"/>
  <c r="T65" i="19"/>
  <c r="T65" i="26"/>
  <c r="T18" i="19"/>
  <c r="T18" i="26"/>
  <c r="I18" i="19"/>
  <c r="I18" i="26"/>
  <c r="U18" i="19"/>
  <c r="U18" i="26"/>
  <c r="Y18" i="19"/>
  <c r="Y17" i="19" s="1"/>
  <c r="Y18" i="26"/>
  <c r="Y17" i="26" s="1"/>
  <c r="F18" i="19"/>
  <c r="F18" i="26"/>
  <c r="J18" i="19"/>
  <c r="J17" i="19" s="1"/>
  <c r="J18" i="26"/>
  <c r="J17" i="26" s="1"/>
  <c r="R18" i="19"/>
  <c r="R18" i="26"/>
  <c r="V18" i="19"/>
  <c r="V18" i="26"/>
  <c r="Z18" i="19"/>
  <c r="Z17" i="19" s="1"/>
  <c r="Z18" i="26"/>
  <c r="Z17" i="26" s="1"/>
  <c r="H20" i="19"/>
  <c r="H20" i="26"/>
  <c r="Q20" i="19"/>
  <c r="Q20" i="26"/>
  <c r="U20" i="19"/>
  <c r="U20" i="26"/>
  <c r="I21" i="19"/>
  <c r="I21" i="26"/>
  <c r="R21" i="19"/>
  <c r="R21" i="26"/>
  <c r="V21" i="19"/>
  <c r="V21" i="26"/>
  <c r="H23" i="19"/>
  <c r="H23" i="26"/>
  <c r="P23" i="19"/>
  <c r="P23" i="26"/>
  <c r="T23" i="19"/>
  <c r="T23" i="26"/>
  <c r="X23" i="19"/>
  <c r="X23" i="26"/>
  <c r="I24" i="19"/>
  <c r="I24" i="26"/>
  <c r="Q24" i="19"/>
  <c r="Q24" i="26"/>
  <c r="U24" i="19"/>
  <c r="U24" i="26"/>
  <c r="Y24" i="19"/>
  <c r="Y24" i="26"/>
  <c r="G25" i="19"/>
  <c r="G25" i="26"/>
  <c r="O25" i="19"/>
  <c r="O25" i="26"/>
  <c r="S25" i="19"/>
  <c r="S25" i="26"/>
  <c r="W25" i="19"/>
  <c r="W25" i="26"/>
  <c r="H54" i="20"/>
  <c r="F26" i="19"/>
  <c r="F26" i="26"/>
  <c r="J26" i="19"/>
  <c r="J26" i="26"/>
  <c r="R26" i="19"/>
  <c r="R26" i="26"/>
  <c r="V26" i="19"/>
  <c r="V26" i="26"/>
  <c r="Z26" i="19"/>
  <c r="Z26" i="26"/>
  <c r="S29" i="19"/>
  <c r="S27" i="19" s="1"/>
  <c r="S29" i="26"/>
  <c r="S27" i="26" s="1"/>
  <c r="F33" i="19"/>
  <c r="F33" i="26"/>
  <c r="J33" i="19"/>
  <c r="J33" i="26"/>
  <c r="R33" i="19"/>
  <c r="R33" i="26"/>
  <c r="V33" i="19"/>
  <c r="V33" i="26"/>
  <c r="F34" i="19"/>
  <c r="F34" i="26"/>
  <c r="J34" i="19"/>
  <c r="J34" i="26"/>
  <c r="R34" i="19"/>
  <c r="R34" i="26"/>
  <c r="V34" i="19"/>
  <c r="V34" i="26"/>
  <c r="Z34" i="19"/>
  <c r="Z34" i="26"/>
  <c r="I36" i="19"/>
  <c r="I36" i="26"/>
  <c r="W36" i="19"/>
  <c r="W36" i="26"/>
  <c r="F37" i="19"/>
  <c r="F37" i="26"/>
  <c r="J37" i="19"/>
  <c r="J37" i="26"/>
  <c r="S37" i="19"/>
  <c r="S37" i="26"/>
  <c r="W37" i="19"/>
  <c r="W37" i="26"/>
  <c r="H38" i="19"/>
  <c r="H38" i="26"/>
  <c r="P38" i="19"/>
  <c r="P38" i="26"/>
  <c r="T38" i="19"/>
  <c r="T38" i="26"/>
  <c r="X38" i="19"/>
  <c r="X38" i="26"/>
  <c r="I39" i="19"/>
  <c r="I39" i="26"/>
  <c r="R39" i="19"/>
  <c r="R39" i="26"/>
  <c r="V39" i="19"/>
  <c r="V39" i="26"/>
  <c r="Z39" i="19"/>
  <c r="Z39" i="26"/>
  <c r="F40" i="19"/>
  <c r="F40" i="26"/>
  <c r="J40" i="19"/>
  <c r="J40" i="26"/>
  <c r="R40" i="19"/>
  <c r="R40" i="26"/>
  <c r="W40" i="26"/>
  <c r="W40" i="19"/>
  <c r="F42" i="19"/>
  <c r="F42" i="26"/>
  <c r="J42" i="19"/>
  <c r="J42" i="26"/>
  <c r="R42" i="19"/>
  <c r="R42" i="26"/>
  <c r="V42" i="19"/>
  <c r="V42" i="26"/>
  <c r="Z42" i="19"/>
  <c r="Z42" i="26"/>
  <c r="Z41" i="26" s="1"/>
  <c r="I43" i="19"/>
  <c r="I43" i="26"/>
  <c r="Q43" i="19"/>
  <c r="Q43" i="26"/>
  <c r="U43" i="19"/>
  <c r="U43" i="26"/>
  <c r="Y43" i="19"/>
  <c r="Y43" i="26"/>
  <c r="F45" i="19"/>
  <c r="F45" i="26"/>
  <c r="J45" i="19"/>
  <c r="J45" i="26"/>
  <c r="R45" i="19"/>
  <c r="R45" i="26"/>
  <c r="V45" i="19"/>
  <c r="V45" i="26"/>
  <c r="Z45" i="19"/>
  <c r="Z45" i="26"/>
  <c r="I46" i="19"/>
  <c r="I46" i="26"/>
  <c r="Q46" i="19"/>
  <c r="Q46" i="26"/>
  <c r="U46" i="19"/>
  <c r="U46" i="26"/>
  <c r="Y46" i="19"/>
  <c r="Y46" i="26"/>
  <c r="H48" i="19"/>
  <c r="H48" i="26"/>
  <c r="P48" i="19"/>
  <c r="P48" i="26"/>
  <c r="T48" i="19"/>
  <c r="T48" i="26"/>
  <c r="Y48" i="19"/>
  <c r="Y48" i="26"/>
  <c r="F49" i="19"/>
  <c r="F49" i="26"/>
  <c r="J49" i="19"/>
  <c r="J49" i="26"/>
  <c r="R49" i="19"/>
  <c r="R49" i="26"/>
  <c r="V49" i="19"/>
  <c r="V49" i="26"/>
  <c r="Z49" i="19"/>
  <c r="Z49" i="26"/>
  <c r="I50" i="19"/>
  <c r="I50" i="26"/>
  <c r="Q50" i="19"/>
  <c r="Q50" i="26"/>
  <c r="U50" i="19"/>
  <c r="U50" i="26"/>
  <c r="Y50" i="19"/>
  <c r="Y50" i="26"/>
  <c r="F51" i="19"/>
  <c r="F51" i="26"/>
  <c r="J51" i="19"/>
  <c r="J51" i="26"/>
  <c r="R51" i="19"/>
  <c r="R51" i="26"/>
  <c r="V51" i="19"/>
  <c r="V51" i="26"/>
  <c r="Z51" i="19"/>
  <c r="Z51" i="26"/>
  <c r="G52" i="19"/>
  <c r="G52" i="26"/>
  <c r="O52" i="19"/>
  <c r="O52" i="26"/>
  <c r="S52" i="19"/>
  <c r="S52" i="26"/>
  <c r="W52" i="19"/>
  <c r="W52" i="26"/>
  <c r="Y52" i="19"/>
  <c r="Y52" i="26"/>
  <c r="G53" i="19"/>
  <c r="G53" i="26"/>
  <c r="O53" i="19"/>
  <c r="O53" i="26"/>
  <c r="S53" i="19"/>
  <c r="S53" i="26"/>
  <c r="W53" i="19"/>
  <c r="W53" i="26"/>
  <c r="F54" i="19"/>
  <c r="F54" i="26"/>
  <c r="J54" i="19"/>
  <c r="J54" i="26"/>
  <c r="S54" i="19"/>
  <c r="S54" i="26"/>
  <c r="W54" i="19"/>
  <c r="W54" i="26"/>
  <c r="F55" i="19"/>
  <c r="F55" i="26"/>
  <c r="J55" i="19"/>
  <c r="J55" i="26"/>
  <c r="S55" i="19"/>
  <c r="S55" i="26"/>
  <c r="Y55" i="19"/>
  <c r="Y55" i="26"/>
  <c r="M295" i="20"/>
  <c r="G57" i="19"/>
  <c r="G57" i="26"/>
  <c r="O57" i="19"/>
  <c r="O57" i="26"/>
  <c r="S57" i="19"/>
  <c r="S57" i="26"/>
  <c r="W57" i="19"/>
  <c r="W57" i="26"/>
  <c r="F58" i="19"/>
  <c r="F58" i="26"/>
  <c r="J58" i="19"/>
  <c r="J58" i="26"/>
  <c r="R58" i="19"/>
  <c r="R58" i="26"/>
  <c r="V58" i="19"/>
  <c r="V58" i="26"/>
  <c r="Z58" i="19"/>
  <c r="Z58" i="26"/>
  <c r="G59" i="19"/>
  <c r="G59" i="26"/>
  <c r="P59" i="19"/>
  <c r="P59" i="26"/>
  <c r="U59" i="19"/>
  <c r="U59" i="26"/>
  <c r="Z59" i="19"/>
  <c r="Z59" i="26"/>
  <c r="S59" i="19"/>
  <c r="S59" i="26"/>
  <c r="I60" i="19"/>
  <c r="I60" i="26"/>
  <c r="Q60" i="19"/>
  <c r="Q60" i="26"/>
  <c r="U60" i="19"/>
  <c r="U60" i="26"/>
  <c r="Y60" i="19"/>
  <c r="Y60" i="26"/>
  <c r="H62" i="19"/>
  <c r="H62" i="26"/>
  <c r="P62" i="19"/>
  <c r="P62" i="26"/>
  <c r="T62" i="19"/>
  <c r="T62" i="26"/>
  <c r="X62" i="19"/>
  <c r="X62" i="26"/>
  <c r="I63" i="19"/>
  <c r="I63" i="26"/>
  <c r="Q63" i="19"/>
  <c r="Q63" i="26"/>
  <c r="U63" i="19"/>
  <c r="U63" i="26"/>
  <c r="Y63" i="19"/>
  <c r="Y63" i="26"/>
  <c r="F64" i="19"/>
  <c r="F64" i="26"/>
  <c r="J64" i="19"/>
  <c r="J64" i="26"/>
  <c r="S64" i="19"/>
  <c r="S64" i="26"/>
  <c r="X64" i="19"/>
  <c r="X64" i="26"/>
  <c r="G65" i="19"/>
  <c r="G65" i="26"/>
  <c r="O65" i="19"/>
  <c r="O65" i="26"/>
  <c r="S65" i="19"/>
  <c r="S65" i="26"/>
  <c r="W65" i="19"/>
  <c r="W65" i="26"/>
  <c r="O18" i="19"/>
  <c r="O18" i="26"/>
  <c r="F21" i="19"/>
  <c r="F21" i="26"/>
  <c r="S21" i="19"/>
  <c r="S21" i="26"/>
  <c r="I23" i="19"/>
  <c r="I23" i="26"/>
  <c r="R24" i="19"/>
  <c r="R24" i="26"/>
  <c r="P25" i="19"/>
  <c r="P25" i="26"/>
  <c r="S26" i="19"/>
  <c r="S26" i="26"/>
  <c r="T29" i="19"/>
  <c r="T27" i="19" s="1"/>
  <c r="T29" i="26"/>
  <c r="T27" i="26" s="1"/>
  <c r="G33" i="19"/>
  <c r="G33" i="26"/>
  <c r="G34" i="19"/>
  <c r="G34" i="26"/>
  <c r="W34" i="19"/>
  <c r="W34" i="26"/>
  <c r="F36" i="19"/>
  <c r="F36" i="26"/>
  <c r="X36" i="19"/>
  <c r="X36" i="26"/>
  <c r="X37" i="19"/>
  <c r="X35" i="19" s="1"/>
  <c r="X37" i="26"/>
  <c r="Y38" i="19"/>
  <c r="Y38" i="26"/>
  <c r="F39" i="19"/>
  <c r="F39" i="26"/>
  <c r="W39" i="19"/>
  <c r="W39" i="26"/>
  <c r="G40" i="19"/>
  <c r="G40" i="26"/>
  <c r="X40" i="19"/>
  <c r="X40" i="26"/>
  <c r="G42" i="19"/>
  <c r="G42" i="26"/>
  <c r="W42" i="19"/>
  <c r="W42" i="26"/>
  <c r="R43" i="19"/>
  <c r="R43" i="26"/>
  <c r="S45" i="19"/>
  <c r="S45" i="26"/>
  <c r="F46" i="19"/>
  <c r="F46" i="26"/>
  <c r="I48" i="19"/>
  <c r="I48" i="26"/>
  <c r="O49" i="26"/>
  <c r="O49" i="19"/>
  <c r="J50" i="19"/>
  <c r="J50" i="26"/>
  <c r="G51" i="19"/>
  <c r="G51" i="26"/>
  <c r="W51" i="19"/>
  <c r="W51" i="26"/>
  <c r="H52" i="19"/>
  <c r="H52" i="26"/>
  <c r="Z52" i="19"/>
  <c r="Z52" i="26"/>
  <c r="H53" i="19"/>
  <c r="H53" i="26"/>
  <c r="O54" i="19"/>
  <c r="O54" i="26"/>
  <c r="T55" i="19"/>
  <c r="T55" i="26"/>
  <c r="P57" i="19"/>
  <c r="P57" i="26"/>
  <c r="O58" i="19"/>
  <c r="O58" i="26"/>
  <c r="V59" i="19"/>
  <c r="V59" i="26"/>
  <c r="F60" i="19"/>
  <c r="F60" i="26"/>
  <c r="V60" i="19"/>
  <c r="V60" i="26"/>
  <c r="Q62" i="19"/>
  <c r="Q62" i="26"/>
  <c r="F63" i="19"/>
  <c r="F63" i="26"/>
  <c r="R63" i="19"/>
  <c r="R63" i="26"/>
  <c r="Z63" i="19"/>
  <c r="Z63" i="26"/>
  <c r="O64" i="19"/>
  <c r="O64" i="26"/>
  <c r="H65" i="19"/>
  <c r="H65" i="26"/>
  <c r="X65" i="19"/>
  <c r="X65" i="26"/>
  <c r="H18" i="19"/>
  <c r="H18" i="26"/>
  <c r="F20" i="19"/>
  <c r="F17" i="19" s="1"/>
  <c r="F20" i="26"/>
  <c r="O20" i="19"/>
  <c r="O20" i="26"/>
  <c r="S20" i="19"/>
  <c r="S20" i="26"/>
  <c r="W20" i="19"/>
  <c r="W20" i="26"/>
  <c r="G21" i="19"/>
  <c r="G21" i="26"/>
  <c r="P21" i="19"/>
  <c r="P21" i="26"/>
  <c r="T21" i="19"/>
  <c r="T21" i="26"/>
  <c r="F23" i="19"/>
  <c r="F23" i="26"/>
  <c r="J23" i="19"/>
  <c r="J23" i="26"/>
  <c r="R23" i="19"/>
  <c r="R23" i="26"/>
  <c r="V23" i="19"/>
  <c r="V23" i="26"/>
  <c r="G24" i="19"/>
  <c r="G24" i="26"/>
  <c r="O24" i="26"/>
  <c r="O24" i="19"/>
  <c r="S24" i="19"/>
  <c r="S24" i="26"/>
  <c r="W24" i="19"/>
  <c r="W24" i="26"/>
  <c r="I25" i="19"/>
  <c r="I25" i="26"/>
  <c r="Q25" i="19"/>
  <c r="Q25" i="26"/>
  <c r="U25" i="19"/>
  <c r="U25" i="26"/>
  <c r="Y25" i="19"/>
  <c r="Y25" i="26"/>
  <c r="H26" i="19"/>
  <c r="H26" i="26"/>
  <c r="P26" i="19"/>
  <c r="P26" i="26"/>
  <c r="T26" i="19"/>
  <c r="T26" i="26"/>
  <c r="X26" i="19"/>
  <c r="X26" i="26"/>
  <c r="O29" i="19"/>
  <c r="O29" i="26"/>
  <c r="W29" i="19"/>
  <c r="W27" i="19" s="1"/>
  <c r="W29" i="26"/>
  <c r="W27" i="26" s="1"/>
  <c r="H33" i="19"/>
  <c r="H33" i="26"/>
  <c r="P33" i="19"/>
  <c r="P33" i="26"/>
  <c r="T33" i="19"/>
  <c r="T33" i="26"/>
  <c r="X33" i="19"/>
  <c r="X33" i="26"/>
  <c r="H34" i="19"/>
  <c r="H34" i="26"/>
  <c r="P34" i="19"/>
  <c r="P34" i="26"/>
  <c r="T34" i="19"/>
  <c r="T34" i="26"/>
  <c r="X34" i="19"/>
  <c r="X34" i="26"/>
  <c r="G36" i="19"/>
  <c r="G36" i="26"/>
  <c r="P36" i="19"/>
  <c r="P36" i="26"/>
  <c r="U36" i="19"/>
  <c r="U36" i="26"/>
  <c r="Z36" i="19"/>
  <c r="Z36" i="26"/>
  <c r="Y36" i="19"/>
  <c r="Y36" i="26"/>
  <c r="H37" i="19"/>
  <c r="H37" i="26"/>
  <c r="Q37" i="19"/>
  <c r="Q37" i="26"/>
  <c r="U37" i="19"/>
  <c r="U37" i="26"/>
  <c r="Y37" i="19"/>
  <c r="Y37" i="26"/>
  <c r="F38" i="19"/>
  <c r="F38" i="26"/>
  <c r="J38" i="19"/>
  <c r="J38" i="26"/>
  <c r="R38" i="19"/>
  <c r="R38" i="26"/>
  <c r="V38" i="19"/>
  <c r="V38" i="26"/>
  <c r="Z38" i="19"/>
  <c r="Z38" i="26"/>
  <c r="G39" i="19"/>
  <c r="G39" i="26"/>
  <c r="P39" i="19"/>
  <c r="P39" i="26"/>
  <c r="T39" i="19"/>
  <c r="T39" i="26"/>
  <c r="X39" i="19"/>
  <c r="X39" i="26"/>
  <c r="H40" i="19"/>
  <c r="H40" i="26"/>
  <c r="P40" i="19"/>
  <c r="P40" i="26"/>
  <c r="U40" i="19"/>
  <c r="U40" i="26"/>
  <c r="Y40" i="19"/>
  <c r="Y40" i="26"/>
  <c r="H42" i="19"/>
  <c r="H42" i="26"/>
  <c r="P42" i="19"/>
  <c r="P42" i="26"/>
  <c r="T42" i="19"/>
  <c r="T42" i="26"/>
  <c r="X42" i="19"/>
  <c r="X42" i="26"/>
  <c r="G43" i="19"/>
  <c r="G43" i="26"/>
  <c r="O43" i="19"/>
  <c r="O41" i="19" s="1"/>
  <c r="O43" i="26"/>
  <c r="S43" i="19"/>
  <c r="S43" i="26"/>
  <c r="W43" i="19"/>
  <c r="W41" i="19" s="1"/>
  <c r="W43" i="26"/>
  <c r="H45" i="19"/>
  <c r="H45" i="26"/>
  <c r="P45" i="19"/>
  <c r="P45" i="26"/>
  <c r="T45" i="19"/>
  <c r="T45" i="26"/>
  <c r="X45" i="19"/>
  <c r="X45" i="26"/>
  <c r="G46" i="19"/>
  <c r="G46" i="26"/>
  <c r="O46" i="19"/>
  <c r="O46" i="26"/>
  <c r="S46" i="19"/>
  <c r="S46" i="26"/>
  <c r="W46" i="19"/>
  <c r="W46" i="26"/>
  <c r="F48" i="19"/>
  <c r="F48" i="26"/>
  <c r="J48" i="19"/>
  <c r="J48" i="26"/>
  <c r="R48" i="19"/>
  <c r="R48" i="26"/>
  <c r="W48" i="19"/>
  <c r="W48" i="26"/>
  <c r="H49" i="19"/>
  <c r="H49" i="26"/>
  <c r="P49" i="19"/>
  <c r="P49" i="26"/>
  <c r="T49" i="19"/>
  <c r="T49" i="26"/>
  <c r="X49" i="19"/>
  <c r="X49" i="26"/>
  <c r="G50" i="19"/>
  <c r="G50" i="26"/>
  <c r="O50" i="19"/>
  <c r="O50" i="26"/>
  <c r="S50" i="19"/>
  <c r="S50" i="26"/>
  <c r="W50" i="19"/>
  <c r="W50" i="26"/>
  <c r="H51" i="19"/>
  <c r="H51" i="26"/>
  <c r="P51" i="19"/>
  <c r="P51" i="26"/>
  <c r="T51" i="19"/>
  <c r="T51" i="26"/>
  <c r="X51" i="19"/>
  <c r="X51" i="26"/>
  <c r="I52" i="19"/>
  <c r="I52" i="26"/>
  <c r="Q52" i="19"/>
  <c r="Q52" i="26"/>
  <c r="U52" i="19"/>
  <c r="U52" i="26"/>
  <c r="I53" i="19"/>
  <c r="I53" i="26"/>
  <c r="Q53" i="19"/>
  <c r="Q53" i="26"/>
  <c r="U53" i="19"/>
  <c r="U53" i="26"/>
  <c r="Y53" i="19"/>
  <c r="Y53" i="26"/>
  <c r="H54" i="19"/>
  <c r="H54" i="26"/>
  <c r="P54" i="19"/>
  <c r="P54" i="26"/>
  <c r="U54" i="19"/>
  <c r="U54" i="26"/>
  <c r="Z54" i="19"/>
  <c r="Z54" i="26"/>
  <c r="H55" i="19"/>
  <c r="H55" i="26"/>
  <c r="P55" i="19"/>
  <c r="P55" i="26"/>
  <c r="V55" i="19"/>
  <c r="V55" i="26"/>
  <c r="I57" i="19"/>
  <c r="I57" i="26"/>
  <c r="Q57" i="19"/>
  <c r="Q57" i="26"/>
  <c r="U57" i="19"/>
  <c r="U57" i="26"/>
  <c r="Y57" i="19"/>
  <c r="Y57" i="26"/>
  <c r="H58" i="19"/>
  <c r="H58" i="26"/>
  <c r="P58" i="19"/>
  <c r="P58" i="26"/>
  <c r="T58" i="19"/>
  <c r="T58" i="26"/>
  <c r="X58" i="19"/>
  <c r="X58" i="26"/>
  <c r="I59" i="19"/>
  <c r="I59" i="26"/>
  <c r="R59" i="19"/>
  <c r="R59" i="26"/>
  <c r="W59" i="19"/>
  <c r="W59" i="26"/>
  <c r="G60" i="19"/>
  <c r="G60" i="26"/>
  <c r="O60" i="19"/>
  <c r="O60" i="26"/>
  <c r="S60" i="19"/>
  <c r="S60" i="26"/>
  <c r="W60" i="19"/>
  <c r="W60" i="26"/>
  <c r="F62" i="19"/>
  <c r="F62" i="26"/>
  <c r="J62" i="19"/>
  <c r="J62" i="26"/>
  <c r="R62" i="19"/>
  <c r="R62" i="26"/>
  <c r="V62" i="19"/>
  <c r="V62" i="26"/>
  <c r="Z62" i="19"/>
  <c r="Z62" i="26"/>
  <c r="G63" i="19"/>
  <c r="G63" i="26"/>
  <c r="N326" i="20"/>
  <c r="M326" i="20" s="1"/>
  <c r="S63" i="19"/>
  <c r="S63" i="26"/>
  <c r="W63" i="19"/>
  <c r="W63" i="26"/>
  <c r="H64" i="19"/>
  <c r="H64" i="26"/>
  <c r="P64" i="19"/>
  <c r="P64" i="26"/>
  <c r="V64" i="19"/>
  <c r="V64" i="26"/>
  <c r="Z64" i="19"/>
  <c r="Z64" i="26"/>
  <c r="I65" i="19"/>
  <c r="I65" i="26"/>
  <c r="Q65" i="19"/>
  <c r="Q65" i="26"/>
  <c r="U65" i="19"/>
  <c r="U65" i="26"/>
  <c r="Y65" i="19"/>
  <c r="Y65" i="26"/>
  <c r="S18" i="19"/>
  <c r="S18" i="26"/>
  <c r="I20" i="19"/>
  <c r="I20" i="26"/>
  <c r="V20" i="19"/>
  <c r="V20" i="26"/>
  <c r="O21" i="19"/>
  <c r="O21" i="26"/>
  <c r="U23" i="19"/>
  <c r="U23" i="26"/>
  <c r="F24" i="19"/>
  <c r="F24" i="26"/>
  <c r="V24" i="19"/>
  <c r="V24" i="26"/>
  <c r="T25" i="19"/>
  <c r="T25" i="26"/>
  <c r="G26" i="19"/>
  <c r="G26" i="26"/>
  <c r="W26" i="26"/>
  <c r="W26" i="19"/>
  <c r="S33" i="19"/>
  <c r="S33" i="26"/>
  <c r="J36" i="19"/>
  <c r="J36" i="26"/>
  <c r="P37" i="19"/>
  <c r="P37" i="26"/>
  <c r="Q38" i="19"/>
  <c r="Q38" i="26"/>
  <c r="O39" i="19"/>
  <c r="O39" i="26"/>
  <c r="S40" i="19"/>
  <c r="S40" i="26"/>
  <c r="S42" i="19"/>
  <c r="S42" i="26"/>
  <c r="F43" i="19"/>
  <c r="F43" i="26"/>
  <c r="V43" i="19"/>
  <c r="V43" i="26"/>
  <c r="G45" i="19"/>
  <c r="G45" i="26"/>
  <c r="W45" i="19"/>
  <c r="W45" i="26"/>
  <c r="W44" i="26" s="1"/>
  <c r="J46" i="19"/>
  <c r="J46" i="26"/>
  <c r="V46" i="19"/>
  <c r="V46" i="26"/>
  <c r="U48" i="19"/>
  <c r="U48" i="26"/>
  <c r="G49" i="19"/>
  <c r="G49" i="26"/>
  <c r="W49" i="19"/>
  <c r="W49" i="26"/>
  <c r="F50" i="19"/>
  <c r="F50" i="26"/>
  <c r="V50" i="19"/>
  <c r="V50" i="26"/>
  <c r="S51" i="19"/>
  <c r="S51" i="26"/>
  <c r="T52" i="19"/>
  <c r="T52" i="26"/>
  <c r="T53" i="19"/>
  <c r="T53" i="26"/>
  <c r="X54" i="19"/>
  <c r="X54" i="26"/>
  <c r="O55" i="19"/>
  <c r="O55" i="26"/>
  <c r="T57" i="19"/>
  <c r="T57" i="26"/>
  <c r="S58" i="19"/>
  <c r="S58" i="26"/>
  <c r="Q59" i="19"/>
  <c r="Q59" i="26"/>
  <c r="R60" i="19"/>
  <c r="R60" i="26"/>
  <c r="Y62" i="19"/>
  <c r="Y62" i="26"/>
  <c r="V63" i="19"/>
  <c r="V63" i="26"/>
  <c r="U64" i="19"/>
  <c r="U64" i="26"/>
  <c r="P65" i="19"/>
  <c r="P65" i="26"/>
  <c r="P18" i="19"/>
  <c r="P18" i="26"/>
  <c r="X18" i="19"/>
  <c r="X17" i="19" s="1"/>
  <c r="X18" i="26"/>
  <c r="X17" i="26" s="1"/>
  <c r="Q18" i="19"/>
  <c r="Q18" i="26"/>
  <c r="G20" i="19"/>
  <c r="G20" i="26"/>
  <c r="P20" i="19"/>
  <c r="P20" i="26"/>
  <c r="T20" i="19"/>
  <c r="T20" i="26"/>
  <c r="H21" i="19"/>
  <c r="H21" i="26"/>
  <c r="Q21" i="19"/>
  <c r="Q21" i="26"/>
  <c r="U21" i="19"/>
  <c r="U21" i="26"/>
  <c r="G23" i="19"/>
  <c r="G23" i="26"/>
  <c r="O23" i="19"/>
  <c r="O23" i="26"/>
  <c r="S23" i="19"/>
  <c r="S23" i="26"/>
  <c r="W23" i="19"/>
  <c r="W23" i="26"/>
  <c r="H24" i="19"/>
  <c r="H24" i="26"/>
  <c r="P24" i="19"/>
  <c r="P24" i="26"/>
  <c r="T24" i="19"/>
  <c r="T24" i="26"/>
  <c r="X24" i="19"/>
  <c r="X24" i="26"/>
  <c r="J25" i="19"/>
  <c r="J25" i="26"/>
  <c r="R25" i="19"/>
  <c r="R25" i="26"/>
  <c r="V25" i="19"/>
  <c r="V25" i="26"/>
  <c r="Z25" i="19"/>
  <c r="Z25" i="26"/>
  <c r="I26" i="19"/>
  <c r="I26" i="26"/>
  <c r="Q26" i="19"/>
  <c r="Q26" i="26"/>
  <c r="U26" i="19"/>
  <c r="U26" i="26"/>
  <c r="Y26" i="19"/>
  <c r="Y26" i="26"/>
  <c r="Q29" i="19"/>
  <c r="Q27" i="19" s="1"/>
  <c r="Q29" i="26"/>
  <c r="Q27" i="26" s="1"/>
  <c r="Y29" i="19"/>
  <c r="Y27" i="19" s="1"/>
  <c r="Y29" i="26"/>
  <c r="Y27" i="26" s="1"/>
  <c r="M105" i="20"/>
  <c r="P32" i="19"/>
  <c r="P32" i="26"/>
  <c r="I33" i="19"/>
  <c r="I33" i="26"/>
  <c r="Q33" i="19"/>
  <c r="Q33" i="26"/>
  <c r="U33" i="19"/>
  <c r="U33" i="26"/>
  <c r="Z33" i="19"/>
  <c r="Z33" i="26"/>
  <c r="I34" i="19"/>
  <c r="I34" i="26"/>
  <c r="Q34" i="19"/>
  <c r="Q34" i="26"/>
  <c r="U34" i="19"/>
  <c r="U34" i="26"/>
  <c r="Y34" i="19"/>
  <c r="Y34" i="26"/>
  <c r="H36" i="19"/>
  <c r="H36" i="26"/>
  <c r="R36" i="19"/>
  <c r="R36" i="26"/>
  <c r="V36" i="19"/>
  <c r="V36" i="26"/>
  <c r="I37" i="19"/>
  <c r="I37" i="26"/>
  <c r="R37" i="19"/>
  <c r="R37" i="26"/>
  <c r="V37" i="19"/>
  <c r="V37" i="26"/>
  <c r="Z37" i="19"/>
  <c r="Z37" i="26"/>
  <c r="G38" i="19"/>
  <c r="G38" i="26"/>
  <c r="O38" i="19"/>
  <c r="O38" i="26"/>
  <c r="S38" i="19"/>
  <c r="S38" i="26"/>
  <c r="W38" i="19"/>
  <c r="W38" i="26"/>
  <c r="H39" i="19"/>
  <c r="H39" i="26"/>
  <c r="Q39" i="19"/>
  <c r="Q39" i="26"/>
  <c r="U39" i="19"/>
  <c r="U39" i="26"/>
  <c r="Y39" i="19"/>
  <c r="Y39" i="26"/>
  <c r="I40" i="19"/>
  <c r="I40" i="26"/>
  <c r="Q40" i="19"/>
  <c r="Q40" i="26"/>
  <c r="V40" i="19"/>
  <c r="V40" i="26"/>
  <c r="Z40" i="19"/>
  <c r="Z40" i="26"/>
  <c r="I42" i="19"/>
  <c r="I42" i="26"/>
  <c r="Q42" i="19"/>
  <c r="Q42" i="26"/>
  <c r="U42" i="19"/>
  <c r="U41" i="19" s="1"/>
  <c r="U42" i="26"/>
  <c r="Y42" i="19"/>
  <c r="Y42" i="26"/>
  <c r="H43" i="19"/>
  <c r="H43" i="26"/>
  <c r="P43" i="19"/>
  <c r="P43" i="26"/>
  <c r="T43" i="19"/>
  <c r="T43" i="26"/>
  <c r="X43" i="19"/>
  <c r="X43" i="26"/>
  <c r="I45" i="19"/>
  <c r="I45" i="26"/>
  <c r="Q45" i="19"/>
  <c r="Q44" i="19" s="1"/>
  <c r="Q45" i="26"/>
  <c r="U45" i="19"/>
  <c r="U45" i="26"/>
  <c r="Y45" i="19"/>
  <c r="Y44" i="19" s="1"/>
  <c r="Y45" i="26"/>
  <c r="H46" i="19"/>
  <c r="H46" i="26"/>
  <c r="P46" i="19"/>
  <c r="P46" i="26"/>
  <c r="T46" i="19"/>
  <c r="T46" i="26"/>
  <c r="X46" i="19"/>
  <c r="X46" i="26"/>
  <c r="G48" i="19"/>
  <c r="G48" i="26"/>
  <c r="O48" i="19"/>
  <c r="O48" i="26"/>
  <c r="S48" i="19"/>
  <c r="S48" i="26"/>
  <c r="X48" i="19"/>
  <c r="X48" i="26"/>
  <c r="I49" i="19"/>
  <c r="I49" i="26"/>
  <c r="Q49" i="19"/>
  <c r="Q49" i="26"/>
  <c r="U49" i="19"/>
  <c r="U49" i="26"/>
  <c r="Y49" i="19"/>
  <c r="Y49" i="26"/>
  <c r="H50" i="19"/>
  <c r="H50" i="26"/>
  <c r="P50" i="19"/>
  <c r="P50" i="26"/>
  <c r="T50" i="19"/>
  <c r="T50" i="26"/>
  <c r="X50" i="19"/>
  <c r="X50" i="26"/>
  <c r="I51" i="19"/>
  <c r="I51" i="26"/>
  <c r="Q51" i="19"/>
  <c r="Q51" i="26"/>
  <c r="U51" i="19"/>
  <c r="U51" i="26"/>
  <c r="Y51" i="19"/>
  <c r="Y51" i="26"/>
  <c r="F52" i="19"/>
  <c r="F52" i="26"/>
  <c r="J52" i="19"/>
  <c r="J52" i="26"/>
  <c r="R52" i="19"/>
  <c r="R52" i="26"/>
  <c r="V52" i="19"/>
  <c r="V52" i="26"/>
  <c r="F53" i="19"/>
  <c r="F53" i="26"/>
  <c r="J53" i="19"/>
  <c r="J53" i="26"/>
  <c r="R53" i="19"/>
  <c r="R53" i="26"/>
  <c r="V53" i="19"/>
  <c r="V53" i="26"/>
  <c r="Z53" i="19"/>
  <c r="Z53" i="26"/>
  <c r="I54" i="19"/>
  <c r="I54" i="26"/>
  <c r="Q54" i="19"/>
  <c r="Q54" i="26"/>
  <c r="V54" i="19"/>
  <c r="V54" i="26"/>
  <c r="I55" i="19"/>
  <c r="I55" i="26"/>
  <c r="Q55" i="19"/>
  <c r="Q55" i="26"/>
  <c r="W55" i="19"/>
  <c r="W55" i="26"/>
  <c r="U55" i="19"/>
  <c r="U55" i="26"/>
  <c r="F57" i="19"/>
  <c r="F57" i="26"/>
  <c r="J57" i="19"/>
  <c r="J57" i="26"/>
  <c r="R57" i="19"/>
  <c r="R57" i="26"/>
  <c r="V57" i="19"/>
  <c r="V56" i="19" s="1"/>
  <c r="V57" i="26"/>
  <c r="Z57" i="19"/>
  <c r="Z57" i="26"/>
  <c r="Z56" i="26" s="1"/>
  <c r="I58" i="19"/>
  <c r="I58" i="26"/>
  <c r="Q58" i="19"/>
  <c r="Q58" i="26"/>
  <c r="U58" i="19"/>
  <c r="U56" i="19" s="1"/>
  <c r="U58" i="26"/>
  <c r="Y58" i="19"/>
  <c r="Y58" i="26"/>
  <c r="F59" i="19"/>
  <c r="F59" i="26"/>
  <c r="J59" i="19"/>
  <c r="J59" i="26"/>
  <c r="T59" i="19"/>
  <c r="T59" i="26"/>
  <c r="X59" i="19"/>
  <c r="X59" i="26"/>
  <c r="H60" i="19"/>
  <c r="H56" i="19" s="1"/>
  <c r="H60" i="26"/>
  <c r="P60" i="19"/>
  <c r="P60" i="26"/>
  <c r="T60" i="19"/>
  <c r="T60" i="26"/>
  <c r="X60" i="19"/>
  <c r="X60" i="26"/>
  <c r="G62" i="19"/>
  <c r="G61" i="19" s="1"/>
  <c r="G62" i="26"/>
  <c r="O62" i="19"/>
  <c r="O62" i="26"/>
  <c r="S62" i="19"/>
  <c r="S61" i="19" s="1"/>
  <c r="S62" i="26"/>
  <c r="W62" i="19"/>
  <c r="W62" i="26"/>
  <c r="H63" i="19"/>
  <c r="H63" i="26"/>
  <c r="P63" i="19"/>
  <c r="P63" i="26"/>
  <c r="T63" i="19"/>
  <c r="T63" i="26"/>
  <c r="X63" i="19"/>
  <c r="X63" i="26"/>
  <c r="I64" i="19"/>
  <c r="I61" i="19" s="1"/>
  <c r="I64" i="26"/>
  <c r="Q64" i="19"/>
  <c r="Q64" i="26"/>
  <c r="W64" i="19"/>
  <c r="W64" i="26"/>
  <c r="F65" i="19"/>
  <c r="F65" i="26"/>
  <c r="J65" i="19"/>
  <c r="J65" i="26"/>
  <c r="R65" i="19"/>
  <c r="R65" i="26"/>
  <c r="V65" i="19"/>
  <c r="V65" i="26"/>
  <c r="Z65" i="19"/>
  <c r="Z65" i="26"/>
  <c r="E12" i="21"/>
  <c r="N47" i="26"/>
  <c r="I41" i="19"/>
  <c r="O27" i="19"/>
  <c r="H85" i="20"/>
  <c r="F32" i="19"/>
  <c r="F27" i="19" s="1"/>
  <c r="S41" i="19"/>
  <c r="M120" i="20"/>
  <c r="M86" i="20"/>
  <c r="G111" i="20"/>
  <c r="F17" i="20"/>
  <c r="M111" i="20"/>
  <c r="I213" i="20"/>
  <c r="R213" i="20"/>
  <c r="V213" i="20"/>
  <c r="F223" i="20"/>
  <c r="F262" i="20"/>
  <c r="F198" i="20"/>
  <c r="F16" i="20"/>
  <c r="F264" i="20"/>
  <c r="F172" i="20"/>
  <c r="F194" i="20"/>
  <c r="K213" i="20"/>
  <c r="H9" i="20"/>
  <c r="O33" i="20"/>
  <c r="F302" i="20"/>
  <c r="F304" i="20"/>
  <c r="F308" i="20"/>
  <c r="F340" i="20"/>
  <c r="F282" i="20"/>
  <c r="F339" i="20"/>
  <c r="K150" i="20"/>
  <c r="F251" i="20"/>
  <c r="F255" i="20"/>
  <c r="M261" i="20"/>
  <c r="V300" i="20"/>
  <c r="F310" i="20"/>
  <c r="W213" i="20"/>
  <c r="K12" i="21"/>
  <c r="F71" i="20"/>
  <c r="F112" i="20"/>
  <c r="F131" i="20"/>
  <c r="F163" i="20"/>
  <c r="H323" i="20"/>
  <c r="L323" i="20"/>
  <c r="U323" i="20"/>
  <c r="Y323" i="20"/>
  <c r="F158" i="20"/>
  <c r="F160" i="20"/>
  <c r="F23" i="20"/>
  <c r="F27" i="20"/>
  <c r="F29" i="20"/>
  <c r="L33" i="20"/>
  <c r="Q150" i="20"/>
  <c r="F183" i="20"/>
  <c r="F273" i="20"/>
  <c r="P323" i="20"/>
  <c r="X323" i="20"/>
  <c r="M54" i="20"/>
  <c r="F55" i="20"/>
  <c r="F57" i="20"/>
  <c r="F59" i="20"/>
  <c r="G61" i="20"/>
  <c r="F61" i="20" s="1"/>
  <c r="F115" i="20"/>
  <c r="F126" i="20"/>
  <c r="T150" i="20"/>
  <c r="X150" i="20"/>
  <c r="F189" i="20"/>
  <c r="F216" i="20"/>
  <c r="F218" i="20"/>
  <c r="O213" i="20"/>
  <c r="S213" i="20"/>
  <c r="F287" i="20"/>
  <c r="F42" i="20"/>
  <c r="F79" i="20"/>
  <c r="F107" i="20"/>
  <c r="F174" i="20"/>
  <c r="F178" i="20"/>
  <c r="F201" i="20"/>
  <c r="F205" i="20"/>
  <c r="F209" i="20"/>
  <c r="Q213" i="20"/>
  <c r="U213" i="20"/>
  <c r="Y213" i="20"/>
  <c r="F242" i="20"/>
  <c r="F244" i="20"/>
  <c r="M277" i="20"/>
  <c r="O300" i="20"/>
  <c r="G326" i="20"/>
  <c r="F330" i="20"/>
  <c r="G332" i="20"/>
  <c r="Q332" i="20"/>
  <c r="R64" i="26" s="1"/>
  <c r="F13" i="20"/>
  <c r="J9" i="20"/>
  <c r="F32" i="20"/>
  <c r="F41" i="20"/>
  <c r="F98" i="20"/>
  <c r="F118" i="20"/>
  <c r="F136" i="20"/>
  <c r="S191" i="20"/>
  <c r="M191" i="20" s="1"/>
  <c r="J229" i="20"/>
  <c r="S229" i="20"/>
  <c r="F236" i="20"/>
  <c r="F238" i="20"/>
  <c r="F256" i="20"/>
  <c r="F258" i="20"/>
  <c r="F260" i="20"/>
  <c r="F266" i="20"/>
  <c r="V9" i="20"/>
  <c r="S33" i="20"/>
  <c r="W33" i="20"/>
  <c r="F74" i="20"/>
  <c r="F82" i="20"/>
  <c r="F106" i="20"/>
  <c r="F121" i="20"/>
  <c r="F145" i="20"/>
  <c r="F147" i="20"/>
  <c r="F156" i="20"/>
  <c r="F246" i="20"/>
  <c r="M249" i="20"/>
  <c r="F249" i="20" s="1"/>
  <c r="G268" i="20"/>
  <c r="W274" i="20"/>
  <c r="M286" i="20"/>
  <c r="F286" i="20" s="1"/>
  <c r="Q292" i="20"/>
  <c r="F295" i="20"/>
  <c r="M296" i="20"/>
  <c r="F296" i="20" s="1"/>
  <c r="F312" i="20"/>
  <c r="F36" i="20"/>
  <c r="F102" i="20"/>
  <c r="J150" i="20"/>
  <c r="M301" i="20"/>
  <c r="R9" i="20"/>
  <c r="M34" i="20"/>
  <c r="F35" i="20"/>
  <c r="F37" i="20"/>
  <c r="F39" i="20"/>
  <c r="F47" i="20"/>
  <c r="F51" i="20"/>
  <c r="F90" i="20"/>
  <c r="F92" i="20"/>
  <c r="F94" i="20"/>
  <c r="F96" i="20"/>
  <c r="F122" i="20"/>
  <c r="F140" i="20"/>
  <c r="M162" i="20"/>
  <c r="F162" i="20" s="1"/>
  <c r="F182" i="20"/>
  <c r="F212" i="20"/>
  <c r="F215" i="20"/>
  <c r="F219" i="20"/>
  <c r="M241" i="20"/>
  <c r="G274" i="20"/>
  <c r="S300" i="20"/>
  <c r="R323" i="20"/>
  <c r="G335" i="20"/>
  <c r="F338" i="20"/>
  <c r="N9" i="20"/>
  <c r="L9" i="20"/>
  <c r="M30" i="20"/>
  <c r="F31" i="20"/>
  <c r="G34" i="20"/>
  <c r="K33" i="20"/>
  <c r="P33" i="20"/>
  <c r="T33" i="20"/>
  <c r="X33" i="20"/>
  <c r="F48" i="20"/>
  <c r="F50" i="20"/>
  <c r="F62" i="20"/>
  <c r="F72" i="20"/>
  <c r="X124" i="20"/>
  <c r="Y33" i="26" s="1"/>
  <c r="F130" i="20"/>
  <c r="F132" i="20"/>
  <c r="F144" i="20"/>
  <c r="F148" i="20"/>
  <c r="U150" i="20"/>
  <c r="Y150" i="20"/>
  <c r="F175" i="20"/>
  <c r="F177" i="20"/>
  <c r="G179" i="20"/>
  <c r="F184" i="20"/>
  <c r="F202" i="20"/>
  <c r="F204" i="20"/>
  <c r="J213" i="20"/>
  <c r="F228" i="20"/>
  <c r="G230" i="20"/>
  <c r="F235" i="20"/>
  <c r="F239" i="20"/>
  <c r="H241" i="20"/>
  <c r="F245" i="20"/>
  <c r="U247" i="20"/>
  <c r="M247" i="20" s="1"/>
  <c r="F248" i="20"/>
  <c r="F253" i="20"/>
  <c r="F259" i="20"/>
  <c r="G270" i="20"/>
  <c r="F275" i="20"/>
  <c r="Q285" i="20"/>
  <c r="F289" i="20"/>
  <c r="M319" i="20"/>
  <c r="F319" i="20" s="1"/>
  <c r="F325" i="20"/>
  <c r="F331" i="20"/>
  <c r="S332" i="20"/>
  <c r="T64" i="26" s="1"/>
  <c r="R150" i="20"/>
  <c r="V150" i="20"/>
  <c r="R229" i="20"/>
  <c r="F290" i="20"/>
  <c r="F297" i="20"/>
  <c r="F299" i="20"/>
  <c r="F303" i="20"/>
  <c r="F305" i="20"/>
  <c r="F307" i="20"/>
  <c r="T323" i="20"/>
  <c r="F328" i="20"/>
  <c r="F155" i="20"/>
  <c r="W150" i="20"/>
  <c r="F187" i="20"/>
  <c r="F192" i="20"/>
  <c r="N229" i="20"/>
  <c r="V229" i="20"/>
  <c r="R300" i="20"/>
  <c r="M10" i="20"/>
  <c r="T9" i="20"/>
  <c r="X9" i="20"/>
  <c r="F12" i="20"/>
  <c r="F14" i="20"/>
  <c r="F22" i="20"/>
  <c r="F24" i="20"/>
  <c r="F26" i="20"/>
  <c r="F38" i="20"/>
  <c r="F60" i="20"/>
  <c r="M65" i="20"/>
  <c r="F66" i="20"/>
  <c r="F70" i="20"/>
  <c r="F75" i="20"/>
  <c r="F87" i="20"/>
  <c r="F89" i="20"/>
  <c r="F116" i="20"/>
  <c r="F125" i="20"/>
  <c r="F127" i="20"/>
  <c r="I150" i="20"/>
  <c r="M154" i="20"/>
  <c r="F154" i="20" s="1"/>
  <c r="F176" i="20"/>
  <c r="F190" i="20"/>
  <c r="F203" i="20"/>
  <c r="F207" i="20"/>
  <c r="O229" i="20"/>
  <c r="W229" i="20"/>
  <c r="F277" i="20"/>
  <c r="J300" i="20"/>
  <c r="W300" i="20"/>
  <c r="K300" i="20"/>
  <c r="P300" i="20"/>
  <c r="T300" i="20"/>
  <c r="X300" i="20"/>
  <c r="G316" i="20"/>
  <c r="I323" i="20"/>
  <c r="V323" i="20"/>
  <c r="F333" i="20"/>
  <c r="O9" i="20"/>
  <c r="S9" i="20"/>
  <c r="W9" i="20"/>
  <c r="F28" i="20"/>
  <c r="R33" i="20"/>
  <c r="V33" i="20"/>
  <c r="F52" i="20"/>
  <c r="F56" i="20"/>
  <c r="F67" i="20"/>
  <c r="F78" i="20"/>
  <c r="F83" i="20"/>
  <c r="F100" i="20"/>
  <c r="K9" i="20"/>
  <c r="I9" i="20"/>
  <c r="Q9" i="20"/>
  <c r="U9" i="20"/>
  <c r="Y9" i="20"/>
  <c r="F40" i="20"/>
  <c r="F43" i="20"/>
  <c r="F45" i="20"/>
  <c r="J33" i="20"/>
  <c r="F49" i="20"/>
  <c r="I33" i="20"/>
  <c r="Q33" i="20"/>
  <c r="U33" i="20"/>
  <c r="Y33" i="20"/>
  <c r="F80" i="20"/>
  <c r="F88" i="20"/>
  <c r="M20" i="20"/>
  <c r="G10" i="20"/>
  <c r="G20" i="20"/>
  <c r="G46" i="20"/>
  <c r="G93" i="20"/>
  <c r="F95" i="20"/>
  <c r="F97" i="20"/>
  <c r="F108" i="20"/>
  <c r="F110" i="20"/>
  <c r="F128" i="20"/>
  <c r="G133" i="20"/>
  <c r="F137" i="20"/>
  <c r="F139" i="20"/>
  <c r="F146" i="20"/>
  <c r="F157" i="20"/>
  <c r="F164" i="20"/>
  <c r="F166" i="20"/>
  <c r="G191" i="20"/>
  <c r="F195" i="20"/>
  <c r="F197" i="20"/>
  <c r="F210" i="20"/>
  <c r="F211" i="20"/>
  <c r="F217" i="20"/>
  <c r="F224" i="20"/>
  <c r="I229" i="20"/>
  <c r="M233" i="20"/>
  <c r="Q229" i="20"/>
  <c r="U229" i="20"/>
  <c r="Y229" i="20"/>
  <c r="P229" i="20"/>
  <c r="T229" i="20"/>
  <c r="X229" i="20"/>
  <c r="F243" i="20"/>
  <c r="F250" i="20"/>
  <c r="F257" i="20"/>
  <c r="F263" i="20"/>
  <c r="F269" i="20"/>
  <c r="F271" i="20"/>
  <c r="F278" i="20"/>
  <c r="F291" i="20"/>
  <c r="F298" i="20"/>
  <c r="F309" i="20"/>
  <c r="F311" i="20"/>
  <c r="Y300" i="20"/>
  <c r="F322" i="20"/>
  <c r="J323" i="20"/>
  <c r="F327" i="20"/>
  <c r="G86" i="20"/>
  <c r="F113" i="20"/>
  <c r="F123" i="20"/>
  <c r="F134" i="20"/>
  <c r="F141" i="20"/>
  <c r="F143" i="20"/>
  <c r="G151" i="20"/>
  <c r="L150" i="20"/>
  <c r="F159" i="20"/>
  <c r="F161" i="20"/>
  <c r="F173" i="20"/>
  <c r="F180" i="20"/>
  <c r="F181" i="20"/>
  <c r="M185" i="20"/>
  <c r="F188" i="20"/>
  <c r="F199" i="20"/>
  <c r="F200" i="20"/>
  <c r="P213" i="20"/>
  <c r="T213" i="20"/>
  <c r="X213" i="20"/>
  <c r="F227" i="20"/>
  <c r="K229" i="20"/>
  <c r="F232" i="20"/>
  <c r="F234" i="20"/>
  <c r="L229" i="20"/>
  <c r="F252" i="20"/>
  <c r="F254" i="20"/>
  <c r="G261" i="20"/>
  <c r="F265" i="20"/>
  <c r="F267" i="20"/>
  <c r="M268" i="20"/>
  <c r="F272" i="20"/>
  <c r="F283" i="20"/>
  <c r="F284" i="20"/>
  <c r="F288" i="20"/>
  <c r="G301" i="20"/>
  <c r="E57" i="26" s="1"/>
  <c r="F306" i="20"/>
  <c r="F313" i="20"/>
  <c r="Q300" i="20"/>
  <c r="U300" i="20"/>
  <c r="F317" i="20"/>
  <c r="G320" i="20"/>
  <c r="O323" i="20"/>
  <c r="W323" i="20"/>
  <c r="F334" i="20"/>
  <c r="M335" i="20"/>
  <c r="F336" i="20"/>
  <c r="O150" i="20"/>
  <c r="S150" i="20"/>
  <c r="L213" i="20"/>
  <c r="F68" i="20"/>
  <c r="F73" i="20"/>
  <c r="F76" i="20"/>
  <c r="F81" i="20"/>
  <c r="F84" i="20"/>
  <c r="F101" i="20"/>
  <c r="F103" i="20"/>
  <c r="F117" i="20"/>
  <c r="F119" i="20"/>
  <c r="G124" i="20"/>
  <c r="M133" i="20"/>
  <c r="F135" i="20"/>
  <c r="F149" i="20"/>
  <c r="F152" i="20"/>
  <c r="F165" i="20"/>
  <c r="F168" i="20"/>
  <c r="F170" i="20"/>
  <c r="F193" i="20"/>
  <c r="F196" i="20"/>
  <c r="F206" i="20"/>
  <c r="F208" i="20"/>
  <c r="F220" i="20"/>
  <c r="F222" i="20"/>
  <c r="M225" i="20"/>
  <c r="F226" i="20"/>
  <c r="F231" i="20"/>
  <c r="F240" i="20"/>
  <c r="G247" i="20"/>
  <c r="M270" i="20"/>
  <c r="M279" i="20"/>
  <c r="G285" i="20"/>
  <c r="L300" i="20"/>
  <c r="I300" i="20"/>
  <c r="M324" i="20"/>
  <c r="M46" i="20"/>
  <c r="N33" i="20"/>
  <c r="F15" i="20"/>
  <c r="F25" i="20"/>
  <c r="F64" i="20"/>
  <c r="G105" i="20"/>
  <c r="F142" i="20"/>
  <c r="F169" i="20"/>
  <c r="M171" i="20"/>
  <c r="M167" i="20" s="1"/>
  <c r="N167" i="20"/>
  <c r="F58" i="20"/>
  <c r="F63" i="20"/>
  <c r="G65" i="20"/>
  <c r="E26" i="26" s="1"/>
  <c r="M99" i="20"/>
  <c r="F99" i="20" s="1"/>
  <c r="F104" i="20"/>
  <c r="F109" i="20"/>
  <c r="G120" i="20"/>
  <c r="E32" i="26" s="1"/>
  <c r="H150" i="20"/>
  <c r="M153" i="20"/>
  <c r="F153" i="20" s="1"/>
  <c r="N151" i="20"/>
  <c r="M214" i="20"/>
  <c r="N213" i="20"/>
  <c r="P9" i="20"/>
  <c r="F11" i="20"/>
  <c r="F21" i="20"/>
  <c r="G30" i="20"/>
  <c r="E21" i="26" s="1"/>
  <c r="F44" i="20"/>
  <c r="F53" i="20"/>
  <c r="F69" i="20"/>
  <c r="F77" i="20"/>
  <c r="F91" i="20"/>
  <c r="F114" i="20"/>
  <c r="F129" i="20"/>
  <c r="F138" i="20"/>
  <c r="P151" i="20"/>
  <c r="Q36" i="26" s="1"/>
  <c r="G186" i="20"/>
  <c r="F186" i="20" s="1"/>
  <c r="L185" i="20"/>
  <c r="J39" i="26" s="1"/>
  <c r="G167" i="20"/>
  <c r="M293" i="20"/>
  <c r="F293" i="20" s="1"/>
  <c r="W292" i="20"/>
  <c r="X55" i="26" s="1"/>
  <c r="N316" i="20"/>
  <c r="F329" i="20"/>
  <c r="M179" i="20"/>
  <c r="F179" i="20" s="1"/>
  <c r="F221" i="20"/>
  <c r="M230" i="20"/>
  <c r="G233" i="20"/>
  <c r="E46" i="26" s="1"/>
  <c r="G279" i="20"/>
  <c r="G314" i="20"/>
  <c r="H300" i="20"/>
  <c r="G324" i="20"/>
  <c r="K323" i="20"/>
  <c r="G214" i="20"/>
  <c r="G225" i="20"/>
  <c r="H213" i="20"/>
  <c r="F237" i="20"/>
  <c r="M274" i="20"/>
  <c r="F274" i="20" s="1"/>
  <c r="F276" i="20"/>
  <c r="X285" i="20"/>
  <c r="G292" i="20"/>
  <c r="F294" i="20"/>
  <c r="M314" i="20"/>
  <c r="F315" i="20"/>
  <c r="M320" i="20"/>
  <c r="F321" i="20"/>
  <c r="F337" i="20"/>
  <c r="M318" i="20"/>
  <c r="F318" i="20" s="1"/>
  <c r="F23" i="15"/>
  <c r="J12" i="19"/>
  <c r="J9" i="19"/>
  <c r="E66" i="19"/>
  <c r="D66" i="19" s="1"/>
  <c r="E15" i="19"/>
  <c r="D15" i="19" s="1"/>
  <c r="N14" i="19"/>
  <c r="E14" i="19"/>
  <c r="N13" i="19"/>
  <c r="E13" i="19"/>
  <c r="Z12" i="19"/>
  <c r="Y12" i="19"/>
  <c r="X12" i="19"/>
  <c r="W12" i="19"/>
  <c r="V12" i="19"/>
  <c r="U12" i="19"/>
  <c r="T12" i="19"/>
  <c r="S12" i="19"/>
  <c r="R12" i="19"/>
  <c r="Q12" i="19"/>
  <c r="P12" i="19"/>
  <c r="O12" i="19"/>
  <c r="I12" i="19"/>
  <c r="H12" i="19"/>
  <c r="G12" i="19"/>
  <c r="F12" i="19"/>
  <c r="D11" i="19"/>
  <c r="D9" i="19" s="1"/>
  <c r="D8" i="19" s="1"/>
  <c r="Z9" i="19"/>
  <c r="Y9" i="19"/>
  <c r="X9" i="19"/>
  <c r="W9" i="19"/>
  <c r="V9" i="19"/>
  <c r="U9" i="19"/>
  <c r="T9" i="19"/>
  <c r="S9" i="19"/>
  <c r="R9" i="19"/>
  <c r="Q9" i="19"/>
  <c r="P9" i="19"/>
  <c r="O9" i="19"/>
  <c r="N9" i="19"/>
  <c r="I9" i="19"/>
  <c r="H9" i="19"/>
  <c r="G9" i="19"/>
  <c r="F9" i="19"/>
  <c r="E9" i="19"/>
  <c r="J35" i="19" l="1"/>
  <c r="S44" i="19"/>
  <c r="F56" i="26"/>
  <c r="R35" i="26"/>
  <c r="Y44" i="26"/>
  <c r="Q44" i="26"/>
  <c r="Z44" i="19"/>
  <c r="J41" i="19"/>
  <c r="R56" i="26"/>
  <c r="U41" i="26"/>
  <c r="I41" i="26"/>
  <c r="O22" i="19"/>
  <c r="Q17" i="19"/>
  <c r="G44" i="19"/>
  <c r="O17" i="19"/>
  <c r="T35" i="19"/>
  <c r="W61" i="19"/>
  <c r="Y41" i="19"/>
  <c r="Q41" i="19"/>
  <c r="H35" i="19"/>
  <c r="Y61" i="26"/>
  <c r="F326" i="20"/>
  <c r="F61" i="19"/>
  <c r="R56" i="19"/>
  <c r="X56" i="19"/>
  <c r="P56" i="19"/>
  <c r="W44" i="19"/>
  <c r="X22" i="19"/>
  <c r="Y22" i="19"/>
  <c r="N21" i="19"/>
  <c r="Q61" i="19"/>
  <c r="G41" i="19"/>
  <c r="J61" i="19"/>
  <c r="H22" i="19"/>
  <c r="N18" i="19"/>
  <c r="Z56" i="19"/>
  <c r="U44" i="19"/>
  <c r="I44" i="19"/>
  <c r="O44" i="26"/>
  <c r="F20" i="20"/>
  <c r="N24" i="19"/>
  <c r="F261" i="20"/>
  <c r="W17" i="19"/>
  <c r="S17" i="26"/>
  <c r="Z44" i="26"/>
  <c r="R44" i="26"/>
  <c r="J41" i="26"/>
  <c r="N34" i="19"/>
  <c r="S61" i="26"/>
  <c r="V56" i="26"/>
  <c r="M229" i="20"/>
  <c r="F270" i="20"/>
  <c r="N323" i="20"/>
  <c r="F268" i="20"/>
  <c r="Z22" i="19"/>
  <c r="U61" i="19"/>
  <c r="Z41" i="19"/>
  <c r="N51" i="19"/>
  <c r="N46" i="19"/>
  <c r="N42" i="19"/>
  <c r="N45" i="19"/>
  <c r="N39" i="19"/>
  <c r="R44" i="19"/>
  <c r="R8" i="20"/>
  <c r="F320" i="20"/>
  <c r="W61" i="26"/>
  <c r="U44" i="26"/>
  <c r="P22" i="19"/>
  <c r="W22" i="19"/>
  <c r="N20" i="19"/>
  <c r="Y61" i="19"/>
  <c r="F10" i="20"/>
  <c r="O44" i="19"/>
  <c r="F56" i="19"/>
  <c r="J56" i="19"/>
  <c r="V35" i="19"/>
  <c r="Q17" i="26"/>
  <c r="V22" i="19"/>
  <c r="J22" i="19"/>
  <c r="G17" i="19"/>
  <c r="S17" i="19"/>
  <c r="N58" i="19"/>
  <c r="N43" i="19"/>
  <c r="F35" i="19"/>
  <c r="N25" i="19"/>
  <c r="I22" i="19"/>
  <c r="Y56" i="19"/>
  <c r="W56" i="19"/>
  <c r="N57" i="19"/>
  <c r="V44" i="26"/>
  <c r="R41" i="26"/>
  <c r="F41" i="26"/>
  <c r="S22" i="19"/>
  <c r="U22" i="19"/>
  <c r="T22" i="19"/>
  <c r="V17" i="19"/>
  <c r="N26" i="19"/>
  <c r="T56" i="19"/>
  <c r="N50" i="19"/>
  <c r="N49" i="19"/>
  <c r="N38" i="19"/>
  <c r="V61" i="26"/>
  <c r="J61" i="26"/>
  <c r="U56" i="26"/>
  <c r="U35" i="26"/>
  <c r="N62" i="19"/>
  <c r="N60" i="19"/>
  <c r="F191" i="20"/>
  <c r="O37" i="19"/>
  <c r="N37" i="19" s="1"/>
  <c r="O37" i="26"/>
  <c r="N37" i="26" s="1"/>
  <c r="E59" i="19"/>
  <c r="E59" i="26"/>
  <c r="X52" i="19"/>
  <c r="N52" i="19" s="1"/>
  <c r="X52" i="26"/>
  <c r="N52" i="26" s="1"/>
  <c r="T41" i="26"/>
  <c r="X61" i="19"/>
  <c r="N53" i="26"/>
  <c r="F25" i="19"/>
  <c r="F25" i="26"/>
  <c r="F22" i="26" s="1"/>
  <c r="E55" i="19"/>
  <c r="E55" i="26"/>
  <c r="E42" i="19"/>
  <c r="E42" i="26"/>
  <c r="O36" i="19"/>
  <c r="O36" i="26"/>
  <c r="Y54" i="19"/>
  <c r="Y54" i="26"/>
  <c r="G323" i="20"/>
  <c r="E53" i="19"/>
  <c r="E53" i="26"/>
  <c r="Q35" i="26"/>
  <c r="E33" i="19"/>
  <c r="E33" i="26"/>
  <c r="E49" i="19"/>
  <c r="E49" i="26"/>
  <c r="E40" i="19"/>
  <c r="E40" i="26"/>
  <c r="E38" i="19"/>
  <c r="E38" i="26"/>
  <c r="R55" i="19"/>
  <c r="R55" i="26"/>
  <c r="N55" i="26" s="1"/>
  <c r="Q22" i="19"/>
  <c r="N23" i="19"/>
  <c r="G61" i="26"/>
  <c r="J56" i="26"/>
  <c r="Y41" i="26"/>
  <c r="Q41" i="26"/>
  <c r="N38" i="26"/>
  <c r="V35" i="26"/>
  <c r="H35" i="26"/>
  <c r="G22" i="19"/>
  <c r="Z61" i="26"/>
  <c r="R61" i="26"/>
  <c r="F61" i="26"/>
  <c r="Y56" i="26"/>
  <c r="Q56" i="26"/>
  <c r="N50" i="26"/>
  <c r="N46" i="26"/>
  <c r="D46" i="26" s="1"/>
  <c r="X44" i="26"/>
  <c r="P44" i="26"/>
  <c r="N43" i="26"/>
  <c r="X41" i="26"/>
  <c r="P41" i="26"/>
  <c r="Z35" i="26"/>
  <c r="P35" i="26"/>
  <c r="N34" i="26"/>
  <c r="R22" i="19"/>
  <c r="F22" i="19"/>
  <c r="H17" i="19"/>
  <c r="H61" i="19"/>
  <c r="S56" i="19"/>
  <c r="G56" i="19"/>
  <c r="V41" i="26"/>
  <c r="W35" i="26"/>
  <c r="R17" i="19"/>
  <c r="U17" i="19"/>
  <c r="T17" i="19"/>
  <c r="E43" i="19"/>
  <c r="E43" i="26"/>
  <c r="E60" i="19"/>
  <c r="E60" i="26"/>
  <c r="E36" i="19"/>
  <c r="E36" i="26"/>
  <c r="E45" i="19"/>
  <c r="E45" i="26"/>
  <c r="N62" i="26"/>
  <c r="N60" i="26"/>
  <c r="I56" i="26"/>
  <c r="T44" i="26"/>
  <c r="G35" i="26"/>
  <c r="E62" i="19"/>
  <c r="D62" i="19" s="1"/>
  <c r="E62" i="26"/>
  <c r="E37" i="19"/>
  <c r="E37" i="26"/>
  <c r="M213" i="20"/>
  <c r="G150" i="20"/>
  <c r="E54" i="19"/>
  <c r="E54" i="26"/>
  <c r="E48" i="19"/>
  <c r="E48" i="26"/>
  <c r="E28" i="19"/>
  <c r="D28" i="19" s="1"/>
  <c r="E28" i="26"/>
  <c r="E29" i="19"/>
  <c r="E29" i="26"/>
  <c r="E18" i="19"/>
  <c r="E18" i="26"/>
  <c r="E51" i="19"/>
  <c r="D51" i="19" s="1"/>
  <c r="E51" i="26"/>
  <c r="V48" i="19"/>
  <c r="N48" i="19" s="1"/>
  <c r="V48" i="26"/>
  <c r="N48" i="26" s="1"/>
  <c r="E52" i="19"/>
  <c r="E52" i="26"/>
  <c r="T40" i="19"/>
  <c r="N40" i="19" s="1"/>
  <c r="T40" i="26"/>
  <c r="N40" i="26" s="1"/>
  <c r="E64" i="19"/>
  <c r="E64" i="26"/>
  <c r="E31" i="19"/>
  <c r="D31" i="19" s="1"/>
  <c r="E31" i="26"/>
  <c r="D31" i="26" s="1"/>
  <c r="N29" i="19"/>
  <c r="W22" i="26"/>
  <c r="O22" i="26"/>
  <c r="N23" i="26"/>
  <c r="P17" i="26"/>
  <c r="T56" i="26"/>
  <c r="J35" i="26"/>
  <c r="N21" i="26"/>
  <c r="D21" i="26" s="1"/>
  <c r="O63" i="19"/>
  <c r="O63" i="26"/>
  <c r="N63" i="26" s="1"/>
  <c r="Z61" i="19"/>
  <c r="Q56" i="19"/>
  <c r="X44" i="19"/>
  <c r="P44" i="19"/>
  <c r="X41" i="19"/>
  <c r="P41" i="19"/>
  <c r="Z35" i="19"/>
  <c r="P35" i="19"/>
  <c r="N24" i="26"/>
  <c r="V22" i="26"/>
  <c r="J22" i="26"/>
  <c r="N64" i="26"/>
  <c r="D64" i="26" s="1"/>
  <c r="Q61" i="26"/>
  <c r="N58" i="26"/>
  <c r="G41" i="26"/>
  <c r="F35" i="26"/>
  <c r="I22" i="26"/>
  <c r="N65" i="26"/>
  <c r="X61" i="26"/>
  <c r="P61" i="26"/>
  <c r="W56" i="26"/>
  <c r="N57" i="26"/>
  <c r="D57" i="26" s="1"/>
  <c r="F44" i="19"/>
  <c r="V41" i="19"/>
  <c r="W35" i="19"/>
  <c r="T22" i="26"/>
  <c r="H22" i="26"/>
  <c r="V17" i="26"/>
  <c r="I17" i="26"/>
  <c r="U61" i="26"/>
  <c r="X56" i="26"/>
  <c r="N42" i="26"/>
  <c r="O41" i="26"/>
  <c r="N33" i="26"/>
  <c r="Z22" i="26"/>
  <c r="Y22" i="26"/>
  <c r="W17" i="26"/>
  <c r="S35" i="26"/>
  <c r="I17" i="19"/>
  <c r="S35" i="19"/>
  <c r="O59" i="19"/>
  <c r="N59" i="19" s="1"/>
  <c r="O59" i="26"/>
  <c r="N59" i="26" s="1"/>
  <c r="E30" i="19"/>
  <c r="D30" i="19" s="1"/>
  <c r="E30" i="26"/>
  <c r="D30" i="26" s="1"/>
  <c r="E24" i="19"/>
  <c r="D24" i="19" s="1"/>
  <c r="E24" i="26"/>
  <c r="E65" i="19"/>
  <c r="E65" i="26"/>
  <c r="P27" i="26"/>
  <c r="N32" i="26"/>
  <c r="D32" i="26" s="1"/>
  <c r="P17" i="19"/>
  <c r="H41" i="26"/>
  <c r="Y35" i="26"/>
  <c r="N29" i="26"/>
  <c r="O27" i="26"/>
  <c r="N49" i="26"/>
  <c r="N65" i="19"/>
  <c r="P61" i="19"/>
  <c r="I35" i="26"/>
  <c r="E58" i="19"/>
  <c r="D58" i="19" s="1"/>
  <c r="E58" i="26"/>
  <c r="G54" i="20"/>
  <c r="E25" i="26" s="1"/>
  <c r="S323" i="20"/>
  <c r="S8" i="20" s="1"/>
  <c r="E34" i="19"/>
  <c r="D34" i="19" s="1"/>
  <c r="E34" i="26"/>
  <c r="E20" i="19"/>
  <c r="D20" i="19" s="1"/>
  <c r="E20" i="26"/>
  <c r="R54" i="19"/>
  <c r="N54" i="19" s="1"/>
  <c r="R54" i="26"/>
  <c r="H229" i="20"/>
  <c r="G229" i="20" s="1"/>
  <c r="F47" i="26"/>
  <c r="E23" i="19"/>
  <c r="E23" i="26"/>
  <c r="H33" i="20"/>
  <c r="G33" i="20" s="1"/>
  <c r="E50" i="19"/>
  <c r="E50" i="26"/>
  <c r="E63" i="19"/>
  <c r="E63" i="26"/>
  <c r="R35" i="19"/>
  <c r="N32" i="19"/>
  <c r="P27" i="19"/>
  <c r="N27" i="19" s="1"/>
  <c r="S22" i="26"/>
  <c r="G22" i="26"/>
  <c r="S41" i="26"/>
  <c r="N39" i="26"/>
  <c r="U22" i="26"/>
  <c r="V61" i="19"/>
  <c r="I56" i="19"/>
  <c r="T44" i="19"/>
  <c r="H44" i="19"/>
  <c r="T41" i="19"/>
  <c r="H41" i="19"/>
  <c r="Y35" i="19"/>
  <c r="U35" i="19"/>
  <c r="G35" i="19"/>
  <c r="R22" i="26"/>
  <c r="N20" i="26"/>
  <c r="H17" i="26"/>
  <c r="P56" i="26"/>
  <c r="S44" i="26"/>
  <c r="W41" i="26"/>
  <c r="X35" i="26"/>
  <c r="N18" i="26"/>
  <c r="O17" i="26"/>
  <c r="T61" i="26"/>
  <c r="H61" i="26"/>
  <c r="S56" i="26"/>
  <c r="G56" i="26"/>
  <c r="N53" i="19"/>
  <c r="V44" i="19"/>
  <c r="J44" i="19"/>
  <c r="R41" i="19"/>
  <c r="F41" i="19"/>
  <c r="I35" i="19"/>
  <c r="N25" i="26"/>
  <c r="X22" i="26"/>
  <c r="P22" i="26"/>
  <c r="R17" i="26"/>
  <c r="F17" i="26"/>
  <c r="U17" i="26"/>
  <c r="T17" i="26"/>
  <c r="I61" i="26"/>
  <c r="H56" i="26"/>
  <c r="N51" i="26"/>
  <c r="N45" i="26"/>
  <c r="T35" i="26"/>
  <c r="N26" i="26"/>
  <c r="D26" i="26" s="1"/>
  <c r="Q22" i="26"/>
  <c r="G17" i="26"/>
  <c r="J44" i="26"/>
  <c r="E41" i="19"/>
  <c r="M292" i="20"/>
  <c r="F292" i="20" s="1"/>
  <c r="X55" i="19"/>
  <c r="F65" i="20"/>
  <c r="E26" i="19"/>
  <c r="P150" i="20"/>
  <c r="P8" i="20" s="1"/>
  <c r="Q36" i="19"/>
  <c r="Q35" i="19" s="1"/>
  <c r="F301" i="20"/>
  <c r="E57" i="19"/>
  <c r="Q323" i="20"/>
  <c r="Q8" i="20" s="1"/>
  <c r="R64" i="19"/>
  <c r="M124" i="20"/>
  <c r="F124" i="20" s="1"/>
  <c r="Y33" i="19"/>
  <c r="N33" i="19" s="1"/>
  <c r="D33" i="19" s="1"/>
  <c r="F233" i="20"/>
  <c r="E46" i="19"/>
  <c r="F30" i="20"/>
  <c r="E21" i="19"/>
  <c r="D21" i="19" s="1"/>
  <c r="G185" i="20"/>
  <c r="E39" i="26" s="1"/>
  <c r="J39" i="19"/>
  <c r="F120" i="20"/>
  <c r="E32" i="19"/>
  <c r="M332" i="20"/>
  <c r="M323" i="20" s="1"/>
  <c r="T64" i="19"/>
  <c r="T61" i="19" s="1"/>
  <c r="F111" i="20"/>
  <c r="M93" i="20"/>
  <c r="F93" i="20" s="1"/>
  <c r="X8" i="20"/>
  <c r="G85" i="20"/>
  <c r="F46" i="20"/>
  <c r="F105" i="20"/>
  <c r="F247" i="20"/>
  <c r="U8" i="20"/>
  <c r="O8" i="20"/>
  <c r="Y8" i="20"/>
  <c r="F324" i="20"/>
  <c r="J8" i="20"/>
  <c r="G241" i="20"/>
  <c r="F335" i="20"/>
  <c r="G300" i="20"/>
  <c r="F225" i="20"/>
  <c r="G213" i="20"/>
  <c r="F213" i="20" s="1"/>
  <c r="F34" i="20"/>
  <c r="T8" i="20"/>
  <c r="N150" i="20"/>
  <c r="I8" i="20"/>
  <c r="F214" i="20"/>
  <c r="F279" i="20"/>
  <c r="L8" i="20"/>
  <c r="M85" i="20"/>
  <c r="F171" i="20"/>
  <c r="M9" i="20"/>
  <c r="M151" i="20"/>
  <c r="F151" i="20" s="1"/>
  <c r="F86" i="20"/>
  <c r="G9" i="20"/>
  <c r="F133" i="20"/>
  <c r="V8" i="20"/>
  <c r="M316" i="20"/>
  <c r="F316" i="20" s="1"/>
  <c r="N300" i="20"/>
  <c r="M300" i="20" s="1"/>
  <c r="M285" i="20"/>
  <c r="F285" i="20" s="1"/>
  <c r="K8" i="20"/>
  <c r="M33" i="20"/>
  <c r="F167" i="20"/>
  <c r="W8" i="20"/>
  <c r="F314" i="20"/>
  <c r="F230" i="20"/>
  <c r="N12" i="19"/>
  <c r="E12" i="19"/>
  <c r="D14" i="19"/>
  <c r="D13" i="19"/>
  <c r="I303" i="15"/>
  <c r="J303" i="15"/>
  <c r="K303" i="15"/>
  <c r="L303" i="15"/>
  <c r="N303" i="15"/>
  <c r="O303" i="15"/>
  <c r="P303" i="15"/>
  <c r="Q303" i="15"/>
  <c r="R303" i="15"/>
  <c r="S303" i="15"/>
  <c r="T303" i="15"/>
  <c r="U303" i="15"/>
  <c r="V303" i="15"/>
  <c r="W303" i="15"/>
  <c r="X303" i="15"/>
  <c r="Y303" i="15"/>
  <c r="H303" i="15"/>
  <c r="I287" i="15"/>
  <c r="J287" i="15"/>
  <c r="K287" i="15"/>
  <c r="L287" i="15"/>
  <c r="K264" i="15"/>
  <c r="L264" i="15"/>
  <c r="O264" i="15"/>
  <c r="Q264" i="15"/>
  <c r="S264" i="15"/>
  <c r="T264" i="15"/>
  <c r="U264" i="15"/>
  <c r="V264" i="15"/>
  <c r="W264" i="15"/>
  <c r="Y264" i="15"/>
  <c r="I264" i="15"/>
  <c r="J264" i="15"/>
  <c r="H264" i="15"/>
  <c r="H287" i="15"/>
  <c r="I488" i="15"/>
  <c r="G53" i="21" s="1"/>
  <c r="J488" i="15"/>
  <c r="H53" i="21" s="1"/>
  <c r="K488" i="15"/>
  <c r="I53" i="21" s="1"/>
  <c r="L488" i="15"/>
  <c r="J53" i="21" s="1"/>
  <c r="H232" i="15"/>
  <c r="F33" i="21" s="1"/>
  <c r="D45" i="19" l="1"/>
  <c r="D18" i="19"/>
  <c r="D54" i="19"/>
  <c r="Z16" i="26"/>
  <c r="G16" i="19"/>
  <c r="N22" i="19"/>
  <c r="D42" i="19"/>
  <c r="F229" i="20"/>
  <c r="D59" i="19"/>
  <c r="D48" i="19"/>
  <c r="F323" i="20"/>
  <c r="D63" i="26"/>
  <c r="D32" i="19"/>
  <c r="Q16" i="26"/>
  <c r="W16" i="19"/>
  <c r="N8" i="20"/>
  <c r="D39" i="26"/>
  <c r="O56" i="19"/>
  <c r="N56" i="19" s="1"/>
  <c r="N44" i="19"/>
  <c r="X16" i="26"/>
  <c r="D24" i="26"/>
  <c r="D26" i="19"/>
  <c r="D50" i="26"/>
  <c r="I16" i="19"/>
  <c r="G8" i="22" s="1"/>
  <c r="G22" i="22" s="1"/>
  <c r="Z16" i="19"/>
  <c r="D60" i="19"/>
  <c r="U16" i="26"/>
  <c r="F16" i="19"/>
  <c r="E22" i="26"/>
  <c r="D23" i="19"/>
  <c r="D37" i="19"/>
  <c r="H8" i="20"/>
  <c r="G8" i="20" s="1"/>
  <c r="F332" i="20"/>
  <c r="X16" i="19"/>
  <c r="R16" i="26"/>
  <c r="T16" i="19"/>
  <c r="F54" i="20"/>
  <c r="J16" i="26"/>
  <c r="D50" i="19"/>
  <c r="D20" i="26"/>
  <c r="S16" i="19"/>
  <c r="Y16" i="26"/>
  <c r="V16" i="26"/>
  <c r="E35" i="19"/>
  <c r="D43" i="19"/>
  <c r="D38" i="19"/>
  <c r="D49" i="19"/>
  <c r="D53" i="26"/>
  <c r="H16" i="19"/>
  <c r="O56" i="26"/>
  <c r="N56" i="26" s="1"/>
  <c r="U16" i="19"/>
  <c r="E25" i="19"/>
  <c r="D25" i="19" s="1"/>
  <c r="W16" i="26"/>
  <c r="P16" i="19"/>
  <c r="D23" i="26"/>
  <c r="O61" i="26"/>
  <c r="N61" i="26" s="1"/>
  <c r="D43" i="26"/>
  <c r="N17" i="19"/>
  <c r="N54" i="26"/>
  <c r="D54" i="26" s="1"/>
  <c r="E61" i="26"/>
  <c r="D62" i="26"/>
  <c r="E27" i="19"/>
  <c r="D27" i="19" s="1"/>
  <c r="Q16" i="19"/>
  <c r="N41" i="19"/>
  <c r="E8" i="23"/>
  <c r="C145" i="23" s="1"/>
  <c r="C152" i="23" s="1"/>
  <c r="C149" i="23" s="1"/>
  <c r="N17" i="26"/>
  <c r="S16" i="26"/>
  <c r="D34" i="26"/>
  <c r="D52" i="26"/>
  <c r="D51" i="26"/>
  <c r="D29" i="26"/>
  <c r="D48" i="26"/>
  <c r="P16" i="26"/>
  <c r="D38" i="26"/>
  <c r="D49" i="26"/>
  <c r="D33" i="26"/>
  <c r="D53" i="19"/>
  <c r="N36" i="26"/>
  <c r="D36" i="26" s="1"/>
  <c r="O35" i="26"/>
  <c r="D55" i="26"/>
  <c r="F241" i="20"/>
  <c r="E47" i="26"/>
  <c r="O35" i="19"/>
  <c r="D18" i="26"/>
  <c r="D58" i="26"/>
  <c r="N41" i="26"/>
  <c r="O61" i="19"/>
  <c r="N63" i="19"/>
  <c r="D63" i="19" s="1"/>
  <c r="D52" i="19"/>
  <c r="D29" i="19"/>
  <c r="E35" i="26"/>
  <c r="D65" i="26"/>
  <c r="E17" i="26"/>
  <c r="D28" i="26"/>
  <c r="E27" i="26"/>
  <c r="T16" i="26"/>
  <c r="D40" i="26"/>
  <c r="E41" i="26"/>
  <c r="D42" i="26"/>
  <c r="J16" i="19"/>
  <c r="E17" i="19"/>
  <c r="E61" i="19"/>
  <c r="N44" i="26"/>
  <c r="D25" i="26"/>
  <c r="N27" i="26"/>
  <c r="D65" i="19"/>
  <c r="N22" i="26"/>
  <c r="D22" i="26" s="1"/>
  <c r="V16" i="19"/>
  <c r="D37" i="26"/>
  <c r="D45" i="26"/>
  <c r="D60" i="26"/>
  <c r="D40" i="19"/>
  <c r="E56" i="26"/>
  <c r="D59" i="26"/>
  <c r="I44" i="26"/>
  <c r="I16" i="26" s="1"/>
  <c r="E56" i="19"/>
  <c r="D57" i="19"/>
  <c r="D41" i="19"/>
  <c r="E44" i="19"/>
  <c r="D46" i="19"/>
  <c r="E7" i="23"/>
  <c r="E6" i="23" s="1"/>
  <c r="E132" i="23" s="1"/>
  <c r="F85" i="20"/>
  <c r="N36" i="19"/>
  <c r="D36" i="19" s="1"/>
  <c r="Y16" i="19"/>
  <c r="R61" i="19"/>
  <c r="N64" i="19"/>
  <c r="D64" i="19" s="1"/>
  <c r="N55" i="19"/>
  <c r="D55" i="19" s="1"/>
  <c r="F185" i="20"/>
  <c r="E39" i="19"/>
  <c r="D39" i="19" s="1"/>
  <c r="F300" i="20"/>
  <c r="F33" i="20"/>
  <c r="M150" i="20"/>
  <c r="F150" i="20" s="1"/>
  <c r="F9" i="20"/>
  <c r="G53" i="17"/>
  <c r="J53" i="17"/>
  <c r="L263" i="15"/>
  <c r="I53" i="17"/>
  <c r="H53" i="17"/>
  <c r="I263" i="15"/>
  <c r="J34" i="17"/>
  <c r="F33" i="17"/>
  <c r="D12" i="19"/>
  <c r="H263" i="15"/>
  <c r="F34" i="21" s="1"/>
  <c r="K263" i="15"/>
  <c r="I34" i="21" s="1"/>
  <c r="J263" i="15"/>
  <c r="H34" i="21" s="1"/>
  <c r="F12" i="17"/>
  <c r="G12" i="17"/>
  <c r="H12" i="17"/>
  <c r="I12" i="17"/>
  <c r="J12" i="17"/>
  <c r="L12" i="17"/>
  <c r="M12" i="17"/>
  <c r="N12" i="17"/>
  <c r="O12" i="17"/>
  <c r="P12" i="17"/>
  <c r="Q12" i="17"/>
  <c r="R12" i="17"/>
  <c r="S12" i="17"/>
  <c r="T12" i="17"/>
  <c r="U12" i="17"/>
  <c r="V12" i="17"/>
  <c r="W12" i="17"/>
  <c r="E15" i="17"/>
  <c r="E62" i="17"/>
  <c r="D62" i="17" s="1"/>
  <c r="K13" i="17"/>
  <c r="E13" i="17"/>
  <c r="E14" i="17"/>
  <c r="K14" i="17"/>
  <c r="K12" i="17" l="1"/>
  <c r="D44" i="19"/>
  <c r="E22" i="19"/>
  <c r="E16" i="19" s="1"/>
  <c r="D17" i="19"/>
  <c r="D56" i="19"/>
  <c r="D41" i="26"/>
  <c r="D27" i="26"/>
  <c r="O16" i="19"/>
  <c r="D13" i="17"/>
  <c r="N35" i="19"/>
  <c r="D35" i="19" s="1"/>
  <c r="D17" i="26"/>
  <c r="M8" i="20"/>
  <c r="F8" i="20" s="1"/>
  <c r="N35" i="26"/>
  <c r="D35" i="26" s="1"/>
  <c r="O16" i="26"/>
  <c r="D14" i="17"/>
  <c r="E12" i="17"/>
  <c r="D56" i="26"/>
  <c r="D61" i="26"/>
  <c r="H44" i="26"/>
  <c r="H16" i="26" s="1"/>
  <c r="C142" i="23"/>
  <c r="R16" i="19"/>
  <c r="N61" i="19"/>
  <c r="D61" i="19" s="1"/>
  <c r="G34" i="17"/>
  <c r="G34" i="21"/>
  <c r="J34" i="21"/>
  <c r="F34" i="17"/>
  <c r="H34" i="17"/>
  <c r="I34" i="17"/>
  <c r="G263" i="15"/>
  <c r="D15" i="17"/>
  <c r="D12" i="17" s="1"/>
  <c r="E9" i="17"/>
  <c r="F9" i="17"/>
  <c r="G9" i="17"/>
  <c r="H9" i="17"/>
  <c r="I9" i="17"/>
  <c r="J9" i="17"/>
  <c r="K9" i="17"/>
  <c r="L9" i="17"/>
  <c r="M9" i="17"/>
  <c r="N9" i="17"/>
  <c r="O9" i="17"/>
  <c r="P9" i="17"/>
  <c r="Q9" i="17"/>
  <c r="R9" i="17"/>
  <c r="S9" i="17"/>
  <c r="T9" i="17"/>
  <c r="U9" i="17"/>
  <c r="V9" i="17"/>
  <c r="W9" i="17"/>
  <c r="D11" i="17"/>
  <c r="D9" i="17" s="1"/>
  <c r="D8" i="17" s="1"/>
  <c r="L14" i="16"/>
  <c r="F14" i="16"/>
  <c r="G14" i="16"/>
  <c r="H14" i="16"/>
  <c r="I14" i="16"/>
  <c r="J14" i="16"/>
  <c r="K14" i="16"/>
  <c r="M13" i="16"/>
  <c r="E10" i="16"/>
  <c r="E11" i="16"/>
  <c r="E9" i="16"/>
  <c r="E12" i="16" s="1"/>
  <c r="E14" i="16" s="1"/>
  <c r="O12" i="16"/>
  <c r="O14" i="16" s="1"/>
  <c r="P12" i="16"/>
  <c r="P14" i="16" s="1"/>
  <c r="Q12" i="16"/>
  <c r="Q14" i="16" s="1"/>
  <c r="R12" i="16"/>
  <c r="R14" i="16" s="1"/>
  <c r="S12" i="16"/>
  <c r="S14" i="16" s="1"/>
  <c r="T12" i="16"/>
  <c r="T14" i="16" s="1"/>
  <c r="U12" i="16"/>
  <c r="U14" i="16" s="1"/>
  <c r="V12" i="16"/>
  <c r="V14" i="16" s="1"/>
  <c r="W12" i="16"/>
  <c r="W14" i="16" s="1"/>
  <c r="X12" i="16"/>
  <c r="X14" i="16" s="1"/>
  <c r="Y12" i="16"/>
  <c r="Y14" i="16" s="1"/>
  <c r="N12" i="16"/>
  <c r="N14" i="16" s="1"/>
  <c r="M8" i="16"/>
  <c r="D8" i="16" s="1"/>
  <c r="M9" i="16"/>
  <c r="D9" i="16" s="1"/>
  <c r="M10" i="16"/>
  <c r="M11" i="16"/>
  <c r="M16" i="16"/>
  <c r="M17" i="16"/>
  <c r="M18" i="16"/>
  <c r="M19" i="16"/>
  <c r="M20" i="16"/>
  <c r="M21" i="16"/>
  <c r="M22" i="16"/>
  <c r="M23" i="16"/>
  <c r="M24" i="16"/>
  <c r="M25" i="16"/>
  <c r="M26" i="16"/>
  <c r="M27" i="16"/>
  <c r="M28" i="16"/>
  <c r="M29" i="16"/>
  <c r="M30" i="16"/>
  <c r="M31" i="16"/>
  <c r="M32" i="16"/>
  <c r="M33" i="16"/>
  <c r="M34" i="16"/>
  <c r="M35" i="16"/>
  <c r="M36" i="16"/>
  <c r="M37" i="16"/>
  <c r="M38" i="16"/>
  <c r="M39" i="16"/>
  <c r="M40" i="16"/>
  <c r="M41" i="16"/>
  <c r="M42" i="16"/>
  <c r="M43" i="16"/>
  <c r="M44" i="16"/>
  <c r="M45" i="16"/>
  <c r="M46" i="16"/>
  <c r="M47" i="16"/>
  <c r="M48" i="16"/>
  <c r="M49" i="16"/>
  <c r="M50" i="16"/>
  <c r="M51" i="16"/>
  <c r="M52" i="16"/>
  <c r="M53" i="16"/>
  <c r="M54" i="16"/>
  <c r="M55" i="16"/>
  <c r="M56" i="16"/>
  <c r="M57" i="16"/>
  <c r="M58" i="16"/>
  <c r="M59" i="16"/>
  <c r="M60" i="16"/>
  <c r="G15" i="16"/>
  <c r="H15" i="16"/>
  <c r="I15" i="16"/>
  <c r="L15" i="16"/>
  <c r="N15" i="16"/>
  <c r="O15" i="16"/>
  <c r="P15" i="16"/>
  <c r="Q15" i="16"/>
  <c r="R15" i="16"/>
  <c r="S15" i="16"/>
  <c r="T15" i="16"/>
  <c r="U15" i="16"/>
  <c r="V15" i="16"/>
  <c r="W15" i="16"/>
  <c r="X15" i="16"/>
  <c r="Y15" i="16"/>
  <c r="F15" i="16"/>
  <c r="E16" i="16"/>
  <c r="E17" i="16"/>
  <c r="E18" i="16"/>
  <c r="D18" i="16" s="1"/>
  <c r="E19" i="16"/>
  <c r="D19" i="16" s="1"/>
  <c r="E20" i="16"/>
  <c r="E21" i="16"/>
  <c r="E22" i="16"/>
  <c r="D22" i="16" s="1"/>
  <c r="E23" i="16"/>
  <c r="D23" i="16" s="1"/>
  <c r="E24" i="16"/>
  <c r="E25" i="16"/>
  <c r="E26" i="16"/>
  <c r="D26" i="16" s="1"/>
  <c r="E27" i="16"/>
  <c r="D27" i="16" s="1"/>
  <c r="E28" i="16"/>
  <c r="E29" i="16"/>
  <c r="E30" i="16"/>
  <c r="D30" i="16" s="1"/>
  <c r="E31" i="16"/>
  <c r="D31" i="16" s="1"/>
  <c r="E32" i="16"/>
  <c r="E33" i="16"/>
  <c r="E34" i="16"/>
  <c r="D34" i="16" s="1"/>
  <c r="E35" i="16"/>
  <c r="D35" i="16" s="1"/>
  <c r="E36" i="16"/>
  <c r="E37" i="16"/>
  <c r="E38" i="16"/>
  <c r="D38" i="16" s="1"/>
  <c r="E39" i="16"/>
  <c r="D39" i="16" s="1"/>
  <c r="E40" i="16"/>
  <c r="E41" i="16"/>
  <c r="E42" i="16"/>
  <c r="D42" i="16" s="1"/>
  <c r="E43" i="16"/>
  <c r="D43" i="16" s="1"/>
  <c r="E44" i="16"/>
  <c r="E45" i="16"/>
  <c r="E46" i="16"/>
  <c r="D46" i="16" s="1"/>
  <c r="E47" i="16"/>
  <c r="D47" i="16" s="1"/>
  <c r="E48" i="16"/>
  <c r="E49" i="16"/>
  <c r="E50" i="16"/>
  <c r="D50" i="16" s="1"/>
  <c r="E51" i="16"/>
  <c r="D51" i="16" s="1"/>
  <c r="E52" i="16"/>
  <c r="E53" i="16"/>
  <c r="E54" i="16"/>
  <c r="D54" i="16" s="1"/>
  <c r="E55" i="16"/>
  <c r="D55" i="16" s="1"/>
  <c r="E56" i="16"/>
  <c r="E57" i="16"/>
  <c r="E58" i="16"/>
  <c r="E59" i="16"/>
  <c r="D59" i="16" s="1"/>
  <c r="E60" i="16"/>
  <c r="H22" i="15"/>
  <c r="H10" i="15"/>
  <c r="F18" i="21" s="1"/>
  <c r="D22" i="19" l="1"/>
  <c r="D16" i="19" s="1"/>
  <c r="N16" i="26"/>
  <c r="D10" i="16"/>
  <c r="D25" i="16"/>
  <c r="D21" i="16"/>
  <c r="D17" i="16"/>
  <c r="G44" i="26"/>
  <c r="G16" i="26" s="1"/>
  <c r="N16" i="19"/>
  <c r="E34" i="21"/>
  <c r="F19" i="17"/>
  <c r="F19" i="21"/>
  <c r="E34" i="17"/>
  <c r="F18" i="17"/>
  <c r="E15" i="16"/>
  <c r="M12" i="16"/>
  <c r="D28" i="16"/>
  <c r="D11" i="16"/>
  <c r="D60" i="16"/>
  <c r="D52" i="16"/>
  <c r="D44" i="16"/>
  <c r="D36" i="16"/>
  <c r="D20" i="16"/>
  <c r="M15" i="16"/>
  <c r="D15" i="16" s="1"/>
  <c r="D58" i="16"/>
  <c r="D57" i="16"/>
  <c r="D53" i="16"/>
  <c r="D49" i="16"/>
  <c r="D41" i="16"/>
  <c r="D37" i="16"/>
  <c r="D33" i="16"/>
  <c r="D29" i="16"/>
  <c r="D56" i="16"/>
  <c r="D48" i="16"/>
  <c r="D40" i="16"/>
  <c r="D32" i="16"/>
  <c r="D24" i="16"/>
  <c r="D16" i="16"/>
  <c r="D45" i="16"/>
  <c r="M530" i="15"/>
  <c r="G530" i="15"/>
  <c r="M529" i="15"/>
  <c r="G529" i="15"/>
  <c r="M528" i="15"/>
  <c r="G528" i="15"/>
  <c r="M527" i="15"/>
  <c r="G527" i="15"/>
  <c r="M526" i="15"/>
  <c r="G526" i="15"/>
  <c r="Y525" i="15"/>
  <c r="W61" i="21" s="1"/>
  <c r="X525" i="15"/>
  <c r="V61" i="21" s="1"/>
  <c r="W525" i="15"/>
  <c r="U61" i="21" s="1"/>
  <c r="V525" i="15"/>
  <c r="T61" i="21" s="1"/>
  <c r="U525" i="15"/>
  <c r="S61" i="21" s="1"/>
  <c r="T525" i="15"/>
  <c r="R61" i="21" s="1"/>
  <c r="S525" i="15"/>
  <c r="Q61" i="21" s="1"/>
  <c r="R525" i="15"/>
  <c r="P61" i="21" s="1"/>
  <c r="Q525" i="15"/>
  <c r="O61" i="21" s="1"/>
  <c r="P525" i="15"/>
  <c r="N61" i="21" s="1"/>
  <c r="O525" i="15"/>
  <c r="M61" i="21" s="1"/>
  <c r="N525" i="15"/>
  <c r="L61" i="21" s="1"/>
  <c r="L525" i="15"/>
  <c r="J61" i="21" s="1"/>
  <c r="K525" i="15"/>
  <c r="I61" i="21" s="1"/>
  <c r="J525" i="15"/>
  <c r="H61" i="21" s="1"/>
  <c r="I525" i="15"/>
  <c r="G61" i="21" s="1"/>
  <c r="H525" i="15"/>
  <c r="F61" i="21" s="1"/>
  <c r="S524" i="15"/>
  <c r="M524" i="15" s="1"/>
  <c r="G524" i="15"/>
  <c r="Q523" i="15"/>
  <c r="M523" i="15" s="1"/>
  <c r="G523" i="15"/>
  <c r="Y522" i="15"/>
  <c r="W60" i="21" s="1"/>
  <c r="X522" i="15"/>
  <c r="V60" i="21" s="1"/>
  <c r="W522" i="15"/>
  <c r="U60" i="21" s="1"/>
  <c r="V522" i="15"/>
  <c r="T60" i="21" s="1"/>
  <c r="U522" i="15"/>
  <c r="S60" i="21" s="1"/>
  <c r="T522" i="15"/>
  <c r="R60" i="21" s="1"/>
  <c r="R522" i="15"/>
  <c r="P60" i="21" s="1"/>
  <c r="P522" i="15"/>
  <c r="N60" i="21" s="1"/>
  <c r="O522" i="15"/>
  <c r="M60" i="21" s="1"/>
  <c r="N522" i="15"/>
  <c r="L60" i="21" s="1"/>
  <c r="L522" i="15"/>
  <c r="J60" i="21" s="1"/>
  <c r="K522" i="15"/>
  <c r="I60" i="21" s="1"/>
  <c r="J522" i="15"/>
  <c r="H60" i="21" s="1"/>
  <c r="I522" i="15"/>
  <c r="G60" i="21" s="1"/>
  <c r="H522" i="15"/>
  <c r="F60" i="21" s="1"/>
  <c r="M521" i="15"/>
  <c r="G521" i="15"/>
  <c r="M520" i="15"/>
  <c r="G520" i="15"/>
  <c r="M519" i="15"/>
  <c r="G519" i="15"/>
  <c r="N518" i="15"/>
  <c r="M518" i="15" s="1"/>
  <c r="G518" i="15"/>
  <c r="M517" i="15"/>
  <c r="G517" i="15"/>
  <c r="Y516" i="15"/>
  <c r="W59" i="21" s="1"/>
  <c r="X516" i="15"/>
  <c r="V59" i="21" s="1"/>
  <c r="W516" i="15"/>
  <c r="U59" i="21" s="1"/>
  <c r="V516" i="15"/>
  <c r="T59" i="21" s="1"/>
  <c r="U516" i="15"/>
  <c r="S59" i="21" s="1"/>
  <c r="T516" i="15"/>
  <c r="R59" i="21" s="1"/>
  <c r="S516" i="15"/>
  <c r="Q59" i="21" s="1"/>
  <c r="R516" i="15"/>
  <c r="P59" i="21" s="1"/>
  <c r="Q516" i="15"/>
  <c r="O59" i="21" s="1"/>
  <c r="P516" i="15"/>
  <c r="N59" i="21" s="1"/>
  <c r="O516" i="15"/>
  <c r="M59" i="21" s="1"/>
  <c r="N516" i="15"/>
  <c r="L59" i="21" s="1"/>
  <c r="L516" i="15"/>
  <c r="J59" i="21" s="1"/>
  <c r="K516" i="15"/>
  <c r="I59" i="21" s="1"/>
  <c r="J516" i="15"/>
  <c r="H59" i="21" s="1"/>
  <c r="I516" i="15"/>
  <c r="G59" i="21" s="1"/>
  <c r="H516" i="15"/>
  <c r="F59" i="21" s="1"/>
  <c r="M515" i="15"/>
  <c r="G515" i="15"/>
  <c r="Y514" i="15"/>
  <c r="W58" i="21" s="1"/>
  <c r="X514" i="15"/>
  <c r="V58" i="21" s="1"/>
  <c r="W514" i="15"/>
  <c r="U58" i="21" s="1"/>
  <c r="V514" i="15"/>
  <c r="U514" i="15"/>
  <c r="S58" i="21" s="1"/>
  <c r="T514" i="15"/>
  <c r="R58" i="21" s="1"/>
  <c r="S514" i="15"/>
  <c r="Q58" i="21" s="1"/>
  <c r="R514" i="15"/>
  <c r="Q514" i="15"/>
  <c r="P514" i="15"/>
  <c r="N58" i="21" s="1"/>
  <c r="O514" i="15"/>
  <c r="M58" i="21" s="1"/>
  <c r="N514" i="15"/>
  <c r="L514" i="15"/>
  <c r="K514" i="15"/>
  <c r="I58" i="21" s="1"/>
  <c r="J514" i="15"/>
  <c r="H58" i="21" s="1"/>
  <c r="I514" i="15"/>
  <c r="H514" i="15"/>
  <c r="M512" i="15"/>
  <c r="G512" i="15"/>
  <c r="M511" i="15"/>
  <c r="G511" i="15"/>
  <c r="Y510" i="15"/>
  <c r="W56" i="21" s="1"/>
  <c r="X510" i="15"/>
  <c r="V56" i="21" s="1"/>
  <c r="W510" i="15"/>
  <c r="U56" i="21" s="1"/>
  <c r="V510" i="15"/>
  <c r="T56" i="21" s="1"/>
  <c r="U510" i="15"/>
  <c r="S56" i="21" s="1"/>
  <c r="T510" i="15"/>
  <c r="R56" i="21" s="1"/>
  <c r="S510" i="15"/>
  <c r="Q56" i="21" s="1"/>
  <c r="R510" i="15"/>
  <c r="P56" i="21" s="1"/>
  <c r="Q510" i="15"/>
  <c r="O56" i="21" s="1"/>
  <c r="P510" i="15"/>
  <c r="N56" i="21" s="1"/>
  <c r="O510" i="15"/>
  <c r="M56" i="21" s="1"/>
  <c r="N510" i="15"/>
  <c r="L56" i="21" s="1"/>
  <c r="L510" i="15"/>
  <c r="J56" i="21" s="1"/>
  <c r="K510" i="15"/>
  <c r="I56" i="21" s="1"/>
  <c r="J510" i="15"/>
  <c r="H56" i="21" s="1"/>
  <c r="I510" i="15"/>
  <c r="G56" i="21" s="1"/>
  <c r="H510" i="15"/>
  <c r="F56" i="21" s="1"/>
  <c r="R509" i="15"/>
  <c r="N509" i="15"/>
  <c r="G509" i="15"/>
  <c r="X508" i="15"/>
  <c r="X506" i="15" s="1"/>
  <c r="V55" i="21" s="1"/>
  <c r="N508" i="15"/>
  <c r="G508" i="15"/>
  <c r="M507" i="15"/>
  <c r="G507" i="15"/>
  <c r="Y506" i="15"/>
  <c r="W55" i="21" s="1"/>
  <c r="W506" i="15"/>
  <c r="U55" i="21" s="1"/>
  <c r="V506" i="15"/>
  <c r="T55" i="21" s="1"/>
  <c r="U506" i="15"/>
  <c r="S55" i="21" s="1"/>
  <c r="T506" i="15"/>
  <c r="R55" i="21" s="1"/>
  <c r="S506" i="15"/>
  <c r="Q55" i="21" s="1"/>
  <c r="R506" i="15"/>
  <c r="P55" i="21" s="1"/>
  <c r="Q506" i="15"/>
  <c r="O55" i="21" s="1"/>
  <c r="P506" i="15"/>
  <c r="N55" i="21" s="1"/>
  <c r="O506" i="15"/>
  <c r="M55" i="21" s="1"/>
  <c r="L506" i="15"/>
  <c r="J55" i="21" s="1"/>
  <c r="K506" i="15"/>
  <c r="I55" i="21" s="1"/>
  <c r="J506" i="15"/>
  <c r="H55" i="21" s="1"/>
  <c r="I506" i="15"/>
  <c r="G55" i="21" s="1"/>
  <c r="H506" i="15"/>
  <c r="F55" i="21" s="1"/>
  <c r="M505" i="15"/>
  <c r="G505" i="15"/>
  <c r="Y504" i="15"/>
  <c r="W54" i="21" s="1"/>
  <c r="X504" i="15"/>
  <c r="V54" i="21" s="1"/>
  <c r="W504" i="15"/>
  <c r="U54" i="21" s="1"/>
  <c r="V504" i="15"/>
  <c r="T54" i="21" s="1"/>
  <c r="U504" i="15"/>
  <c r="S54" i="21" s="1"/>
  <c r="T504" i="15"/>
  <c r="R54" i="21" s="1"/>
  <c r="S504" i="15"/>
  <c r="Q54" i="21" s="1"/>
  <c r="R504" i="15"/>
  <c r="P54" i="21" s="1"/>
  <c r="Q504" i="15"/>
  <c r="O54" i="21" s="1"/>
  <c r="P504" i="15"/>
  <c r="N54" i="21" s="1"/>
  <c r="O504" i="15"/>
  <c r="M54" i="21" s="1"/>
  <c r="N504" i="15"/>
  <c r="L54" i="21" s="1"/>
  <c r="L504" i="15"/>
  <c r="J54" i="21" s="1"/>
  <c r="K504" i="15"/>
  <c r="I54" i="21" s="1"/>
  <c r="J504" i="15"/>
  <c r="H54" i="21" s="1"/>
  <c r="I504" i="15"/>
  <c r="G54" i="21" s="1"/>
  <c r="H504" i="15"/>
  <c r="F54" i="21" s="1"/>
  <c r="M503" i="15"/>
  <c r="G503" i="15"/>
  <c r="M502" i="15"/>
  <c r="G502" i="15"/>
  <c r="M501" i="15"/>
  <c r="G501" i="15"/>
  <c r="M499" i="15"/>
  <c r="G499" i="15"/>
  <c r="M497" i="15"/>
  <c r="G497" i="15"/>
  <c r="M495" i="15"/>
  <c r="G495" i="15"/>
  <c r="M494" i="15"/>
  <c r="G494" i="15"/>
  <c r="M493" i="15"/>
  <c r="G493" i="15"/>
  <c r="M492" i="15"/>
  <c r="G492" i="15"/>
  <c r="M491" i="15"/>
  <c r="G491" i="15"/>
  <c r="M490" i="15"/>
  <c r="H490" i="15"/>
  <c r="G490" i="15" s="1"/>
  <c r="M489" i="15"/>
  <c r="H489" i="15"/>
  <c r="G489" i="15" s="1"/>
  <c r="Y488" i="15"/>
  <c r="W53" i="21" s="1"/>
  <c r="X488" i="15"/>
  <c r="V53" i="21" s="1"/>
  <c r="W488" i="15"/>
  <c r="U53" i="21" s="1"/>
  <c r="V488" i="15"/>
  <c r="T53" i="21" s="1"/>
  <c r="U488" i="15"/>
  <c r="S53" i="21" s="1"/>
  <c r="T488" i="15"/>
  <c r="R53" i="21" s="1"/>
  <c r="S488" i="15"/>
  <c r="Q53" i="21" s="1"/>
  <c r="R488" i="15"/>
  <c r="P53" i="21" s="1"/>
  <c r="Q488" i="15"/>
  <c r="O53" i="21" s="1"/>
  <c r="P488" i="15"/>
  <c r="N53" i="21" s="1"/>
  <c r="O488" i="15"/>
  <c r="M53" i="21" s="1"/>
  <c r="N488" i="15"/>
  <c r="L53" i="21" s="1"/>
  <c r="M485" i="15"/>
  <c r="G485" i="15"/>
  <c r="M483" i="15"/>
  <c r="G483" i="15"/>
  <c r="M482" i="15"/>
  <c r="G482" i="15"/>
  <c r="X481" i="15"/>
  <c r="T481" i="15"/>
  <c r="G481" i="15"/>
  <c r="W480" i="15"/>
  <c r="Q480" i="15"/>
  <c r="Q476" i="15" s="1"/>
  <c r="O51" i="21" s="1"/>
  <c r="G480" i="15"/>
  <c r="M478" i="15"/>
  <c r="G478" i="15"/>
  <c r="X477" i="15"/>
  <c r="W477" i="15"/>
  <c r="W476" i="15" s="1"/>
  <c r="U51" i="21" s="1"/>
  <c r="G477" i="15"/>
  <c r="Y476" i="15"/>
  <c r="W51" i="21" s="1"/>
  <c r="V476" i="15"/>
  <c r="T51" i="21" s="1"/>
  <c r="U476" i="15"/>
  <c r="S51" i="21" s="1"/>
  <c r="S476" i="15"/>
  <c r="Q51" i="21" s="1"/>
  <c r="R476" i="15"/>
  <c r="P51" i="21" s="1"/>
  <c r="P476" i="15"/>
  <c r="N51" i="21" s="1"/>
  <c r="O476" i="15"/>
  <c r="M51" i="21" s="1"/>
  <c r="N476" i="15"/>
  <c r="L51" i="21" s="1"/>
  <c r="L476" i="15"/>
  <c r="J51" i="21" s="1"/>
  <c r="K476" i="15"/>
  <c r="I51" i="21" s="1"/>
  <c r="J476" i="15"/>
  <c r="H51" i="21" s="1"/>
  <c r="I476" i="15"/>
  <c r="G51" i="21" s="1"/>
  <c r="H476" i="15"/>
  <c r="F51" i="21" s="1"/>
  <c r="M473" i="15"/>
  <c r="G473" i="15"/>
  <c r="M472" i="15"/>
  <c r="G472" i="15"/>
  <c r="M471" i="15"/>
  <c r="G471" i="15"/>
  <c r="M468" i="15"/>
  <c r="G468" i="15"/>
  <c r="X467" i="15"/>
  <c r="M467" i="15" s="1"/>
  <c r="G467" i="15"/>
  <c r="X466" i="15"/>
  <c r="Q466" i="15"/>
  <c r="G466" i="15"/>
  <c r="Y465" i="15"/>
  <c r="W50" i="21" s="1"/>
  <c r="W465" i="15"/>
  <c r="U50" i="21" s="1"/>
  <c r="V465" i="15"/>
  <c r="T50" i="21" s="1"/>
  <c r="U465" i="15"/>
  <c r="S50" i="21" s="1"/>
  <c r="T465" i="15"/>
  <c r="R50" i="21" s="1"/>
  <c r="S465" i="15"/>
  <c r="Q50" i="21" s="1"/>
  <c r="R465" i="15"/>
  <c r="P50" i="21" s="1"/>
  <c r="P465" i="15"/>
  <c r="N50" i="21" s="1"/>
  <c r="O465" i="15"/>
  <c r="M50" i="21" s="1"/>
  <c r="N465" i="15"/>
  <c r="L50" i="21" s="1"/>
  <c r="L465" i="15"/>
  <c r="J50" i="21" s="1"/>
  <c r="K465" i="15"/>
  <c r="I50" i="21" s="1"/>
  <c r="J465" i="15"/>
  <c r="H50" i="21" s="1"/>
  <c r="I465" i="15"/>
  <c r="G50" i="21" s="1"/>
  <c r="H465" i="15"/>
  <c r="F50" i="21" s="1"/>
  <c r="M464" i="15"/>
  <c r="G464" i="15"/>
  <c r="M463" i="15"/>
  <c r="G463" i="15"/>
  <c r="M462" i="15"/>
  <c r="G462" i="15"/>
  <c r="M461" i="15"/>
  <c r="G461" i="15"/>
  <c r="Y458" i="15"/>
  <c r="W49" i="21" s="1"/>
  <c r="X458" i="15"/>
  <c r="V49" i="21" s="1"/>
  <c r="W458" i="15"/>
  <c r="U49" i="21" s="1"/>
  <c r="V458" i="15"/>
  <c r="T49" i="21" s="1"/>
  <c r="U458" i="15"/>
  <c r="S49" i="21" s="1"/>
  <c r="T458" i="15"/>
  <c r="R49" i="21" s="1"/>
  <c r="S458" i="15"/>
  <c r="Q49" i="21" s="1"/>
  <c r="R458" i="15"/>
  <c r="P49" i="21" s="1"/>
  <c r="Q458" i="15"/>
  <c r="O49" i="21" s="1"/>
  <c r="P458" i="15"/>
  <c r="N49" i="21" s="1"/>
  <c r="O458" i="15"/>
  <c r="M49" i="21" s="1"/>
  <c r="N458" i="15"/>
  <c r="L49" i="21" s="1"/>
  <c r="L458" i="15"/>
  <c r="J49" i="21" s="1"/>
  <c r="K458" i="15"/>
  <c r="I49" i="21" s="1"/>
  <c r="J458" i="15"/>
  <c r="H49" i="21" s="1"/>
  <c r="I458" i="15"/>
  <c r="G49" i="21" s="1"/>
  <c r="H458" i="15"/>
  <c r="F49" i="21" s="1"/>
  <c r="M457" i="15"/>
  <c r="G457" i="15"/>
  <c r="X451" i="15"/>
  <c r="W451" i="15"/>
  <c r="W446" i="15" s="1"/>
  <c r="U48" i="21" s="1"/>
  <c r="G451" i="15"/>
  <c r="M450" i="15"/>
  <c r="G450" i="15"/>
  <c r="M449" i="15"/>
  <c r="G449" i="15"/>
  <c r="M447" i="15"/>
  <c r="G447" i="15"/>
  <c r="Y446" i="15"/>
  <c r="W48" i="21" s="1"/>
  <c r="V446" i="15"/>
  <c r="T48" i="21" s="1"/>
  <c r="U446" i="15"/>
  <c r="S48" i="21" s="1"/>
  <c r="T446" i="15"/>
  <c r="R48" i="21" s="1"/>
  <c r="S446" i="15"/>
  <c r="Q48" i="21" s="1"/>
  <c r="R446" i="15"/>
  <c r="P48" i="21" s="1"/>
  <c r="Q446" i="15"/>
  <c r="O48" i="21" s="1"/>
  <c r="P446" i="15"/>
  <c r="N48" i="21" s="1"/>
  <c r="O446" i="15"/>
  <c r="M48" i="21" s="1"/>
  <c r="N446" i="15"/>
  <c r="L48" i="21" s="1"/>
  <c r="L446" i="15"/>
  <c r="J48" i="21" s="1"/>
  <c r="K446" i="15"/>
  <c r="I48" i="21" s="1"/>
  <c r="J446" i="15"/>
  <c r="H48" i="21" s="1"/>
  <c r="I446" i="15"/>
  <c r="G48" i="21" s="1"/>
  <c r="H446" i="15"/>
  <c r="F48" i="21" s="1"/>
  <c r="M445" i="15"/>
  <c r="G445" i="15"/>
  <c r="M444" i="15"/>
  <c r="G444" i="15"/>
  <c r="M443" i="15"/>
  <c r="G443" i="15"/>
  <c r="Y442" i="15"/>
  <c r="W47" i="21" s="1"/>
  <c r="X442" i="15"/>
  <c r="V47" i="21" s="1"/>
  <c r="W442" i="15"/>
  <c r="U47" i="21" s="1"/>
  <c r="V442" i="15"/>
  <c r="T47" i="21" s="1"/>
  <c r="U442" i="15"/>
  <c r="S47" i="21" s="1"/>
  <c r="T442" i="15"/>
  <c r="R47" i="21" s="1"/>
  <c r="S442" i="15"/>
  <c r="Q47" i="21" s="1"/>
  <c r="R442" i="15"/>
  <c r="P47" i="21" s="1"/>
  <c r="Q442" i="15"/>
  <c r="O47" i="21" s="1"/>
  <c r="P442" i="15"/>
  <c r="N47" i="21" s="1"/>
  <c r="O442" i="15"/>
  <c r="M47" i="21" s="1"/>
  <c r="N442" i="15"/>
  <c r="L47" i="21" s="1"/>
  <c r="L442" i="15"/>
  <c r="J47" i="21" s="1"/>
  <c r="K442" i="15"/>
  <c r="I47" i="21" s="1"/>
  <c r="J442" i="15"/>
  <c r="H47" i="21" s="1"/>
  <c r="I442" i="15"/>
  <c r="G47" i="21" s="1"/>
  <c r="H442" i="15"/>
  <c r="F47" i="21" s="1"/>
  <c r="M441" i="15"/>
  <c r="G441" i="15"/>
  <c r="Y440" i="15"/>
  <c r="W46" i="21" s="1"/>
  <c r="X440" i="15"/>
  <c r="V46" i="21" s="1"/>
  <c r="W440" i="15"/>
  <c r="U46" i="21" s="1"/>
  <c r="V440" i="15"/>
  <c r="T46" i="21" s="1"/>
  <c r="U440" i="15"/>
  <c r="S46" i="21" s="1"/>
  <c r="T440" i="15"/>
  <c r="R46" i="21" s="1"/>
  <c r="S440" i="15"/>
  <c r="Q46" i="21" s="1"/>
  <c r="R440" i="15"/>
  <c r="P46" i="21" s="1"/>
  <c r="Q440" i="15"/>
  <c r="O46" i="21" s="1"/>
  <c r="P440" i="15"/>
  <c r="N46" i="21" s="1"/>
  <c r="O440" i="15"/>
  <c r="M46" i="21" s="1"/>
  <c r="N440" i="15"/>
  <c r="L46" i="21" s="1"/>
  <c r="L440" i="15"/>
  <c r="J46" i="21" s="1"/>
  <c r="K440" i="15"/>
  <c r="I46" i="21" s="1"/>
  <c r="J440" i="15"/>
  <c r="H46" i="21" s="1"/>
  <c r="I440" i="15"/>
  <c r="G46" i="21" s="1"/>
  <c r="H440" i="15"/>
  <c r="F46" i="21" s="1"/>
  <c r="M439" i="15"/>
  <c r="G439" i="15"/>
  <c r="M438" i="15"/>
  <c r="G438" i="15"/>
  <c r="M437" i="15"/>
  <c r="G437" i="15"/>
  <c r="M435" i="15"/>
  <c r="G435" i="15"/>
  <c r="M434" i="15"/>
  <c r="G434" i="15"/>
  <c r="M433" i="15"/>
  <c r="G433" i="15"/>
  <c r="M430" i="15"/>
  <c r="G430" i="15"/>
  <c r="Y428" i="15"/>
  <c r="W45" i="21" s="1"/>
  <c r="X428" i="15"/>
  <c r="V45" i="21" s="1"/>
  <c r="W428" i="15"/>
  <c r="U45" i="21" s="1"/>
  <c r="V428" i="15"/>
  <c r="T45" i="21" s="1"/>
  <c r="U428" i="15"/>
  <c r="S45" i="21" s="1"/>
  <c r="T428" i="15"/>
  <c r="R45" i="21" s="1"/>
  <c r="S428" i="15"/>
  <c r="Q45" i="21" s="1"/>
  <c r="R428" i="15"/>
  <c r="P45" i="21" s="1"/>
  <c r="Q428" i="15"/>
  <c r="O45" i="21" s="1"/>
  <c r="P428" i="15"/>
  <c r="N45" i="21" s="1"/>
  <c r="O428" i="15"/>
  <c r="M45" i="21" s="1"/>
  <c r="N428" i="15"/>
  <c r="L45" i="21" s="1"/>
  <c r="L428" i="15"/>
  <c r="J45" i="21" s="1"/>
  <c r="K428" i="15"/>
  <c r="I45" i="21" s="1"/>
  <c r="J428" i="15"/>
  <c r="H45" i="21" s="1"/>
  <c r="I428" i="15"/>
  <c r="G45" i="21" s="1"/>
  <c r="H428" i="15"/>
  <c r="F45" i="21" s="1"/>
  <c r="M425" i="15"/>
  <c r="G425" i="15"/>
  <c r="M424" i="15"/>
  <c r="G424" i="15"/>
  <c r="M422" i="15"/>
  <c r="G422" i="15"/>
  <c r="M421" i="15"/>
  <c r="G421" i="15"/>
  <c r="M417" i="15"/>
  <c r="G417" i="15"/>
  <c r="M416" i="15"/>
  <c r="G416" i="15"/>
  <c r="M415" i="15"/>
  <c r="G415" i="15"/>
  <c r="M414" i="15"/>
  <c r="G414" i="15"/>
  <c r="M411" i="15"/>
  <c r="G411" i="15"/>
  <c r="M410" i="15"/>
  <c r="G410" i="15"/>
  <c r="M409" i="15"/>
  <c r="G409" i="15"/>
  <c r="Y408" i="15"/>
  <c r="Y405" i="15" s="1"/>
  <c r="W44" i="21" s="1"/>
  <c r="U408" i="15"/>
  <c r="G408" i="15"/>
  <c r="M406" i="15"/>
  <c r="G406" i="15"/>
  <c r="X405" i="15"/>
  <c r="V44" i="21" s="1"/>
  <c r="W405" i="15"/>
  <c r="U44" i="21" s="1"/>
  <c r="V405" i="15"/>
  <c r="T44" i="21" s="1"/>
  <c r="T405" i="15"/>
  <c r="R44" i="21" s="1"/>
  <c r="S405" i="15"/>
  <c r="Q44" i="21" s="1"/>
  <c r="R405" i="15"/>
  <c r="P44" i="21" s="1"/>
  <c r="Q405" i="15"/>
  <c r="O44" i="21" s="1"/>
  <c r="P405" i="15"/>
  <c r="N44" i="21" s="1"/>
  <c r="O405" i="15"/>
  <c r="M44" i="21" s="1"/>
  <c r="N405" i="15"/>
  <c r="L44" i="21" s="1"/>
  <c r="L405" i="15"/>
  <c r="J44" i="21" s="1"/>
  <c r="K405" i="15"/>
  <c r="I44" i="21" s="1"/>
  <c r="J405" i="15"/>
  <c r="H44" i="21" s="1"/>
  <c r="I405" i="15"/>
  <c r="G44" i="21" s="1"/>
  <c r="H405" i="15"/>
  <c r="F44" i="21" s="1"/>
  <c r="M404" i="15"/>
  <c r="G404" i="15"/>
  <c r="M403" i="15"/>
  <c r="G403" i="15"/>
  <c r="M401" i="15"/>
  <c r="G401" i="15"/>
  <c r="M400" i="15"/>
  <c r="H400" i="15"/>
  <c r="G400" i="15" s="1"/>
  <c r="M399" i="15"/>
  <c r="H399" i="15"/>
  <c r="M398" i="15"/>
  <c r="G398" i="15"/>
  <c r="M396" i="15"/>
  <c r="G396" i="15"/>
  <c r="Y395" i="15"/>
  <c r="W43" i="21" s="1"/>
  <c r="X395" i="15"/>
  <c r="V43" i="21" s="1"/>
  <c r="W395" i="15"/>
  <c r="U43" i="21" s="1"/>
  <c r="V395" i="15"/>
  <c r="T43" i="21" s="1"/>
  <c r="U395" i="15"/>
  <c r="S43" i="21" s="1"/>
  <c r="T395" i="15"/>
  <c r="R43" i="21" s="1"/>
  <c r="S395" i="15"/>
  <c r="Q43" i="21" s="1"/>
  <c r="R395" i="15"/>
  <c r="P43" i="21" s="1"/>
  <c r="Q395" i="15"/>
  <c r="O43" i="21" s="1"/>
  <c r="P395" i="15"/>
  <c r="N43" i="21" s="1"/>
  <c r="O395" i="15"/>
  <c r="M43" i="21" s="1"/>
  <c r="N395" i="15"/>
  <c r="L43" i="21" s="1"/>
  <c r="L395" i="15"/>
  <c r="J43" i="21" s="1"/>
  <c r="K395" i="15"/>
  <c r="I43" i="21" s="1"/>
  <c r="J395" i="15"/>
  <c r="H43" i="21" s="1"/>
  <c r="I395" i="15"/>
  <c r="G43" i="21" s="1"/>
  <c r="M393" i="15"/>
  <c r="G393" i="15"/>
  <c r="M392" i="15"/>
  <c r="G392" i="15"/>
  <c r="M390" i="15"/>
  <c r="G390" i="15"/>
  <c r="M389" i="15"/>
  <c r="G389" i="15"/>
  <c r="M388" i="15"/>
  <c r="G388" i="15"/>
  <c r="M387" i="15"/>
  <c r="G387" i="15"/>
  <c r="M386" i="15"/>
  <c r="G386" i="15"/>
  <c r="Y385" i="15"/>
  <c r="W42" i="21" s="1"/>
  <c r="X385" i="15"/>
  <c r="V42" i="21" s="1"/>
  <c r="W385" i="15"/>
  <c r="U42" i="21" s="1"/>
  <c r="V385" i="15"/>
  <c r="T42" i="21" s="1"/>
  <c r="U385" i="15"/>
  <c r="S42" i="21" s="1"/>
  <c r="T385" i="15"/>
  <c r="R42" i="21" s="1"/>
  <c r="S385" i="15"/>
  <c r="Q42" i="21" s="1"/>
  <c r="R385" i="15"/>
  <c r="P42" i="21" s="1"/>
  <c r="Q385" i="15"/>
  <c r="O42" i="21" s="1"/>
  <c r="P385" i="15"/>
  <c r="N42" i="21" s="1"/>
  <c r="O385" i="15"/>
  <c r="M42" i="21" s="1"/>
  <c r="N385" i="15"/>
  <c r="L42" i="21" s="1"/>
  <c r="L385" i="15"/>
  <c r="J42" i="21" s="1"/>
  <c r="K385" i="15"/>
  <c r="I42" i="21" s="1"/>
  <c r="J385" i="15"/>
  <c r="H42" i="21" s="1"/>
  <c r="I385" i="15"/>
  <c r="G42" i="21" s="1"/>
  <c r="H385" i="15"/>
  <c r="M383" i="15"/>
  <c r="G383" i="15"/>
  <c r="M381" i="15"/>
  <c r="G381" i="15"/>
  <c r="Y380" i="15"/>
  <c r="W41" i="21" s="1"/>
  <c r="X380" i="15"/>
  <c r="V41" i="21" s="1"/>
  <c r="W380" i="15"/>
  <c r="U41" i="21" s="1"/>
  <c r="V380" i="15"/>
  <c r="T41" i="21" s="1"/>
  <c r="U380" i="15"/>
  <c r="S41" i="21" s="1"/>
  <c r="T380" i="15"/>
  <c r="R41" i="21" s="1"/>
  <c r="S380" i="15"/>
  <c r="Q41" i="21" s="1"/>
  <c r="R380" i="15"/>
  <c r="P41" i="21" s="1"/>
  <c r="Q380" i="15"/>
  <c r="O41" i="21" s="1"/>
  <c r="P380" i="15"/>
  <c r="N41" i="21" s="1"/>
  <c r="O380" i="15"/>
  <c r="M41" i="21" s="1"/>
  <c r="N380" i="15"/>
  <c r="L41" i="21" s="1"/>
  <c r="L380" i="15"/>
  <c r="J41" i="21" s="1"/>
  <c r="K380" i="15"/>
  <c r="I41" i="21" s="1"/>
  <c r="J380" i="15"/>
  <c r="H41" i="21" s="1"/>
  <c r="I380" i="15"/>
  <c r="G41" i="21" s="1"/>
  <c r="H380" i="15"/>
  <c r="F41" i="21" s="1"/>
  <c r="M378" i="15"/>
  <c r="G378" i="15"/>
  <c r="M377" i="15"/>
  <c r="G377" i="15"/>
  <c r="M374" i="15"/>
  <c r="G374" i="15"/>
  <c r="Y373" i="15"/>
  <c r="W39" i="21" s="1"/>
  <c r="X373" i="15"/>
  <c r="V39" i="21" s="1"/>
  <c r="W373" i="15"/>
  <c r="U39" i="21" s="1"/>
  <c r="V373" i="15"/>
  <c r="T39" i="21" s="1"/>
  <c r="U373" i="15"/>
  <c r="S39" i="21" s="1"/>
  <c r="T373" i="15"/>
  <c r="R39" i="21" s="1"/>
  <c r="S373" i="15"/>
  <c r="Q39" i="21" s="1"/>
  <c r="R373" i="15"/>
  <c r="P39" i="21" s="1"/>
  <c r="Q373" i="15"/>
  <c r="O39" i="21" s="1"/>
  <c r="P373" i="15"/>
  <c r="N39" i="21" s="1"/>
  <c r="O373" i="15"/>
  <c r="M39" i="21" s="1"/>
  <c r="N373" i="15"/>
  <c r="L39" i="21" s="1"/>
  <c r="L373" i="15"/>
  <c r="J39" i="21" s="1"/>
  <c r="K373" i="15"/>
  <c r="I39" i="21" s="1"/>
  <c r="J373" i="15"/>
  <c r="H39" i="21" s="1"/>
  <c r="I373" i="15"/>
  <c r="G39" i="21" s="1"/>
  <c r="H373" i="15"/>
  <c r="F39" i="21" s="1"/>
  <c r="M372" i="15"/>
  <c r="G372" i="15"/>
  <c r="M371" i="15"/>
  <c r="G371" i="15"/>
  <c r="M368" i="15"/>
  <c r="G368" i="15"/>
  <c r="M367" i="15"/>
  <c r="G367" i="15"/>
  <c r="M366" i="15"/>
  <c r="G366" i="15"/>
  <c r="M365" i="15"/>
  <c r="G365" i="15"/>
  <c r="M364" i="15"/>
  <c r="G364" i="15"/>
  <c r="M362" i="15"/>
  <c r="G362" i="15"/>
  <c r="M357" i="15"/>
  <c r="G357" i="15"/>
  <c r="M356" i="15"/>
  <c r="G356" i="15"/>
  <c r="Y354" i="15"/>
  <c r="W38" i="21" s="1"/>
  <c r="X354" i="15"/>
  <c r="V38" i="21" s="1"/>
  <c r="W354" i="15"/>
  <c r="U38" i="21" s="1"/>
  <c r="V354" i="15"/>
  <c r="T38" i="21" s="1"/>
  <c r="U354" i="15"/>
  <c r="S38" i="21" s="1"/>
  <c r="T354" i="15"/>
  <c r="R38" i="21" s="1"/>
  <c r="S354" i="15"/>
  <c r="Q38" i="21" s="1"/>
  <c r="R354" i="15"/>
  <c r="P38" i="21" s="1"/>
  <c r="Q354" i="15"/>
  <c r="O38" i="21" s="1"/>
  <c r="P354" i="15"/>
  <c r="N38" i="21" s="1"/>
  <c r="O354" i="15"/>
  <c r="M38" i="21" s="1"/>
  <c r="N354" i="15"/>
  <c r="L38" i="21" s="1"/>
  <c r="L354" i="15"/>
  <c r="J38" i="21" s="1"/>
  <c r="K354" i="15"/>
  <c r="J354" i="15"/>
  <c r="H38" i="21" s="1"/>
  <c r="I354" i="15"/>
  <c r="G38" i="21" s="1"/>
  <c r="H354" i="15"/>
  <c r="F38" i="21" s="1"/>
  <c r="S350" i="15"/>
  <c r="M350" i="15" s="1"/>
  <c r="G350" i="15"/>
  <c r="M349" i="15"/>
  <c r="G349" i="15"/>
  <c r="M348" i="15"/>
  <c r="G348" i="15"/>
  <c r="M347" i="15"/>
  <c r="G347" i="15"/>
  <c r="M346" i="15"/>
  <c r="G346" i="15"/>
  <c r="M345" i="15"/>
  <c r="G345" i="15"/>
  <c r="M344" i="15"/>
  <c r="G344" i="15"/>
  <c r="M342" i="15"/>
  <c r="G342" i="15"/>
  <c r="M341" i="15"/>
  <c r="G341" i="15"/>
  <c r="M340" i="15"/>
  <c r="G340" i="15"/>
  <c r="M339" i="15"/>
  <c r="G339" i="15"/>
  <c r="M337" i="15"/>
  <c r="G337" i="15"/>
  <c r="M336" i="15"/>
  <c r="G336" i="15"/>
  <c r="M335" i="15"/>
  <c r="G335" i="15"/>
  <c r="M334" i="15"/>
  <c r="G334" i="15"/>
  <c r="M333" i="15"/>
  <c r="G333" i="15"/>
  <c r="M332" i="15"/>
  <c r="G332" i="15"/>
  <c r="M331" i="15"/>
  <c r="G331" i="15"/>
  <c r="M330" i="15"/>
  <c r="G330" i="15"/>
  <c r="M329" i="15"/>
  <c r="G329" i="15"/>
  <c r="M328" i="15"/>
  <c r="G328" i="15"/>
  <c r="M327" i="15"/>
  <c r="G327" i="15"/>
  <c r="M326" i="15"/>
  <c r="G326" i="15"/>
  <c r="Y325" i="15"/>
  <c r="W36" i="21" s="1"/>
  <c r="X325" i="15"/>
  <c r="V36" i="21" s="1"/>
  <c r="W325" i="15"/>
  <c r="U36" i="21" s="1"/>
  <c r="V325" i="15"/>
  <c r="T36" i="21" s="1"/>
  <c r="U325" i="15"/>
  <c r="S36" i="21" s="1"/>
  <c r="T325" i="15"/>
  <c r="R36" i="21" s="1"/>
  <c r="R325" i="15"/>
  <c r="P36" i="21" s="1"/>
  <c r="Q325" i="15"/>
  <c r="O36" i="21" s="1"/>
  <c r="P325" i="15"/>
  <c r="N36" i="21" s="1"/>
  <c r="O325" i="15"/>
  <c r="M36" i="21" s="1"/>
  <c r="N325" i="15"/>
  <c r="L36" i="21" s="1"/>
  <c r="L325" i="15"/>
  <c r="J36" i="21" s="1"/>
  <c r="K325" i="15"/>
  <c r="I36" i="21" s="1"/>
  <c r="J325" i="15"/>
  <c r="H36" i="21" s="1"/>
  <c r="I325" i="15"/>
  <c r="G36" i="21" s="1"/>
  <c r="H325" i="15"/>
  <c r="F36" i="21" s="1"/>
  <c r="M324" i="15"/>
  <c r="G324" i="15"/>
  <c r="M323" i="15"/>
  <c r="G323" i="15"/>
  <c r="M322" i="15"/>
  <c r="G322" i="15"/>
  <c r="M321" i="15"/>
  <c r="G321" i="15"/>
  <c r="M320" i="15"/>
  <c r="G320" i="15"/>
  <c r="M319" i="15"/>
  <c r="L319" i="15"/>
  <c r="G319" i="15" s="1"/>
  <c r="M318" i="15"/>
  <c r="G318" i="15"/>
  <c r="M316" i="15"/>
  <c r="G316" i="15"/>
  <c r="M315" i="15"/>
  <c r="G315" i="15"/>
  <c r="M314" i="15"/>
  <c r="L314" i="15"/>
  <c r="G314" i="15" s="1"/>
  <c r="Y313" i="15"/>
  <c r="W35" i="21" s="1"/>
  <c r="X313" i="15"/>
  <c r="V35" i="21" s="1"/>
  <c r="W313" i="15"/>
  <c r="U35" i="21" s="1"/>
  <c r="V313" i="15"/>
  <c r="T35" i="21" s="1"/>
  <c r="U313" i="15"/>
  <c r="S35" i="21" s="1"/>
  <c r="T313" i="15"/>
  <c r="R35" i="21" s="1"/>
  <c r="S313" i="15"/>
  <c r="Q35" i="21" s="1"/>
  <c r="R313" i="15"/>
  <c r="P35" i="21" s="1"/>
  <c r="Q313" i="15"/>
  <c r="O35" i="21" s="1"/>
  <c r="P313" i="15"/>
  <c r="N35" i="21" s="1"/>
  <c r="O313" i="15"/>
  <c r="M35" i="21" s="1"/>
  <c r="N313" i="15"/>
  <c r="L35" i="21" s="1"/>
  <c r="K313" i="15"/>
  <c r="I35" i="21" s="1"/>
  <c r="J313" i="15"/>
  <c r="H35" i="21" s="1"/>
  <c r="I313" i="15"/>
  <c r="G35" i="21" s="1"/>
  <c r="H313" i="15"/>
  <c r="F35" i="21" s="1"/>
  <c r="M312" i="15"/>
  <c r="G312" i="15"/>
  <c r="M311" i="15"/>
  <c r="G311" i="15"/>
  <c r="M310" i="15"/>
  <c r="G310" i="15"/>
  <c r="M309" i="15"/>
  <c r="G309" i="15"/>
  <c r="M308" i="15"/>
  <c r="G308" i="15"/>
  <c r="M307" i="15"/>
  <c r="G307" i="15"/>
  <c r="M306" i="15"/>
  <c r="G306" i="15"/>
  <c r="M305" i="15"/>
  <c r="G305" i="15"/>
  <c r="M304" i="15"/>
  <c r="G304" i="15"/>
  <c r="G303" i="15"/>
  <c r="M302" i="15"/>
  <c r="G302" i="15"/>
  <c r="M301" i="15"/>
  <c r="G301" i="15"/>
  <c r="M300" i="15"/>
  <c r="G300" i="15"/>
  <c r="M299" i="15"/>
  <c r="G299" i="15"/>
  <c r="M298" i="15"/>
  <c r="G298" i="15"/>
  <c r="M297" i="15"/>
  <c r="G297" i="15"/>
  <c r="M296" i="15"/>
  <c r="G296" i="15"/>
  <c r="M295" i="15"/>
  <c r="G295" i="15"/>
  <c r="M294" i="15"/>
  <c r="G294" i="15"/>
  <c r="Y293" i="15"/>
  <c r="Y287" i="15" s="1"/>
  <c r="Y263" i="15" s="1"/>
  <c r="W34" i="21" s="1"/>
  <c r="X293" i="15"/>
  <c r="X287" i="15" s="1"/>
  <c r="W293" i="15"/>
  <c r="W287" i="15" s="1"/>
  <c r="W263" i="15" s="1"/>
  <c r="U34" i="21" s="1"/>
  <c r="V293" i="15"/>
  <c r="V287" i="15" s="1"/>
  <c r="V263" i="15" s="1"/>
  <c r="T34" i="21" s="1"/>
  <c r="U293" i="15"/>
  <c r="U287" i="15" s="1"/>
  <c r="U263" i="15" s="1"/>
  <c r="S34" i="21" s="1"/>
  <c r="T293" i="15"/>
  <c r="T287" i="15" s="1"/>
  <c r="T263" i="15" s="1"/>
  <c r="R34" i="21" s="1"/>
  <c r="S293" i="15"/>
  <c r="S287" i="15" s="1"/>
  <c r="S263" i="15" s="1"/>
  <c r="Q34" i="21" s="1"/>
  <c r="R293" i="15"/>
  <c r="R287" i="15" s="1"/>
  <c r="Q293" i="15"/>
  <c r="Q287" i="15" s="1"/>
  <c r="Q263" i="15" s="1"/>
  <c r="O34" i="21" s="1"/>
  <c r="P293" i="15"/>
  <c r="P287" i="15" s="1"/>
  <c r="O293" i="15"/>
  <c r="O287" i="15" s="1"/>
  <c r="O263" i="15" s="1"/>
  <c r="M34" i="21" s="1"/>
  <c r="N293" i="15"/>
  <c r="G293" i="15"/>
  <c r="N291" i="15"/>
  <c r="M291" i="15" s="1"/>
  <c r="G291" i="15"/>
  <c r="M290" i="15"/>
  <c r="G290" i="15"/>
  <c r="M289" i="15"/>
  <c r="G289" i="15"/>
  <c r="M288" i="15"/>
  <c r="G288" i="15"/>
  <c r="G287" i="15"/>
  <c r="M284" i="15"/>
  <c r="G284" i="15"/>
  <c r="M283" i="15"/>
  <c r="G283" i="15"/>
  <c r="M282" i="15"/>
  <c r="G282" i="15"/>
  <c r="M281" i="15"/>
  <c r="G281" i="15"/>
  <c r="R279" i="15"/>
  <c r="R264" i="15" s="1"/>
  <c r="N279" i="15"/>
  <c r="G279" i="15"/>
  <c r="M278" i="15"/>
  <c r="G278" i="15"/>
  <c r="M277" i="15"/>
  <c r="G277" i="15"/>
  <c r="M276" i="15"/>
  <c r="G276" i="15"/>
  <c r="M275" i="15"/>
  <c r="G275" i="15"/>
  <c r="M274" i="15"/>
  <c r="G274" i="15"/>
  <c r="M272" i="15"/>
  <c r="G272" i="15"/>
  <c r="X271" i="15"/>
  <c r="M271" i="15" s="1"/>
  <c r="G271" i="15"/>
  <c r="M270" i="15"/>
  <c r="G270" i="15"/>
  <c r="X269" i="15"/>
  <c r="X264" i="15" s="1"/>
  <c r="P269" i="15"/>
  <c r="N269" i="15"/>
  <c r="G269" i="15"/>
  <c r="M268" i="15"/>
  <c r="G268" i="15"/>
  <c r="N267" i="15"/>
  <c r="G267" i="15"/>
  <c r="P266" i="15"/>
  <c r="M266" i="15" s="1"/>
  <c r="G266" i="15"/>
  <c r="M265" i="15"/>
  <c r="G265" i="15"/>
  <c r="G264" i="15"/>
  <c r="M262" i="15"/>
  <c r="G262" i="15"/>
  <c r="M257" i="15"/>
  <c r="G257" i="15"/>
  <c r="M252" i="15"/>
  <c r="G252" i="15"/>
  <c r="M251" i="15"/>
  <c r="G251" i="15"/>
  <c r="M250" i="15"/>
  <c r="G250" i="15"/>
  <c r="M249" i="15"/>
  <c r="G249" i="15"/>
  <c r="M248" i="15"/>
  <c r="G248" i="15"/>
  <c r="M247" i="15"/>
  <c r="G247" i="15"/>
  <c r="M246" i="15"/>
  <c r="G246" i="15"/>
  <c r="M245" i="15"/>
  <c r="G245" i="15"/>
  <c r="M244" i="15"/>
  <c r="G244" i="15"/>
  <c r="M243" i="15"/>
  <c r="G243" i="15"/>
  <c r="M241" i="15"/>
  <c r="G241" i="15"/>
  <c r="M240" i="15"/>
  <c r="G240" i="15"/>
  <c r="M237" i="15"/>
  <c r="G237" i="15"/>
  <c r="M235" i="15"/>
  <c r="G235" i="15"/>
  <c r="Y232" i="15"/>
  <c r="W33" i="21" s="1"/>
  <c r="X232" i="15"/>
  <c r="V33" i="21" s="1"/>
  <c r="W232" i="15"/>
  <c r="U33" i="21" s="1"/>
  <c r="V232" i="15"/>
  <c r="T33" i="21" s="1"/>
  <c r="U232" i="15"/>
  <c r="S33" i="21" s="1"/>
  <c r="T232" i="15"/>
  <c r="R33" i="21" s="1"/>
  <c r="S232" i="15"/>
  <c r="Q33" i="21" s="1"/>
  <c r="R232" i="15"/>
  <c r="P33" i="21" s="1"/>
  <c r="Q232" i="15"/>
  <c r="O33" i="21" s="1"/>
  <c r="P232" i="15"/>
  <c r="N33" i="21" s="1"/>
  <c r="O232" i="15"/>
  <c r="M33" i="21" s="1"/>
  <c r="N232" i="15"/>
  <c r="L33" i="21" s="1"/>
  <c r="L232" i="15"/>
  <c r="J33" i="21" s="1"/>
  <c r="K232" i="15"/>
  <c r="I33" i="21" s="1"/>
  <c r="J232" i="15"/>
  <c r="H33" i="21" s="1"/>
  <c r="I232" i="15"/>
  <c r="G33" i="21" s="1"/>
  <c r="M226" i="15"/>
  <c r="G226" i="15"/>
  <c r="M223" i="15"/>
  <c r="G223" i="15"/>
  <c r="M222" i="15"/>
  <c r="G222" i="15"/>
  <c r="M221" i="15"/>
  <c r="G221" i="15"/>
  <c r="M220" i="15"/>
  <c r="G220" i="15"/>
  <c r="M219" i="15"/>
  <c r="G219" i="15"/>
  <c r="X217" i="15"/>
  <c r="M217" i="15" s="1"/>
  <c r="G217" i="15"/>
  <c r="M215" i="15"/>
  <c r="G215" i="15"/>
  <c r="M214" i="15"/>
  <c r="G214" i="15"/>
  <c r="Y212" i="15"/>
  <c r="W32" i="21" s="1"/>
  <c r="W212" i="15"/>
  <c r="U32" i="21" s="1"/>
  <c r="V212" i="15"/>
  <c r="T32" i="21" s="1"/>
  <c r="U212" i="15"/>
  <c r="S32" i="21" s="1"/>
  <c r="T212" i="15"/>
  <c r="R32" i="21" s="1"/>
  <c r="S212" i="15"/>
  <c r="Q32" i="21" s="1"/>
  <c r="R212" i="15"/>
  <c r="P32" i="21" s="1"/>
  <c r="Q212" i="15"/>
  <c r="O32" i="21" s="1"/>
  <c r="P212" i="15"/>
  <c r="N32" i="21" s="1"/>
  <c r="O212" i="15"/>
  <c r="M32" i="21" s="1"/>
  <c r="N212" i="15"/>
  <c r="L32" i="21" s="1"/>
  <c r="L212" i="15"/>
  <c r="J32" i="21" s="1"/>
  <c r="K212" i="15"/>
  <c r="I32" i="21" s="1"/>
  <c r="J212" i="15"/>
  <c r="H32" i="21" s="1"/>
  <c r="I212" i="15"/>
  <c r="G32" i="21" s="1"/>
  <c r="H212" i="15"/>
  <c r="F32" i="21" s="1"/>
  <c r="M210" i="15"/>
  <c r="G210" i="15"/>
  <c r="M206" i="15"/>
  <c r="G206" i="15"/>
  <c r="O205" i="15"/>
  <c r="O204" i="15" s="1"/>
  <c r="M31" i="21" s="1"/>
  <c r="G205" i="15"/>
  <c r="Y204" i="15"/>
  <c r="W31" i="21" s="1"/>
  <c r="X204" i="15"/>
  <c r="V31" i="21" s="1"/>
  <c r="W204" i="15"/>
  <c r="U31" i="21" s="1"/>
  <c r="V204" i="15"/>
  <c r="T31" i="21" s="1"/>
  <c r="U204" i="15"/>
  <c r="S31" i="21" s="1"/>
  <c r="T204" i="15"/>
  <c r="R31" i="21" s="1"/>
  <c r="S204" i="15"/>
  <c r="Q31" i="21" s="1"/>
  <c r="R204" i="15"/>
  <c r="P31" i="21" s="1"/>
  <c r="Q204" i="15"/>
  <c r="O31" i="21" s="1"/>
  <c r="P204" i="15"/>
  <c r="N31" i="21" s="1"/>
  <c r="N204" i="15"/>
  <c r="L31" i="21" s="1"/>
  <c r="L204" i="15"/>
  <c r="J31" i="21" s="1"/>
  <c r="K204" i="15"/>
  <c r="I31" i="21" s="1"/>
  <c r="J204" i="15"/>
  <c r="H31" i="21" s="1"/>
  <c r="I204" i="15"/>
  <c r="G31" i="21" s="1"/>
  <c r="H204" i="15"/>
  <c r="F31" i="21" s="1"/>
  <c r="M203" i="15"/>
  <c r="G203" i="15"/>
  <c r="M202" i="15"/>
  <c r="G202" i="15"/>
  <c r="M201" i="15"/>
  <c r="G201" i="15"/>
  <c r="M200" i="15"/>
  <c r="G200" i="15"/>
  <c r="M199" i="15"/>
  <c r="G199" i="15"/>
  <c r="M198" i="15"/>
  <c r="G198" i="15"/>
  <c r="M197" i="15"/>
  <c r="G197" i="15"/>
  <c r="M196" i="15"/>
  <c r="G196" i="15"/>
  <c r="M195" i="15"/>
  <c r="G195" i="15"/>
  <c r="M191" i="15"/>
  <c r="G191" i="15"/>
  <c r="M189" i="15"/>
  <c r="G189" i="15"/>
  <c r="M188" i="15"/>
  <c r="G188" i="15"/>
  <c r="M187" i="15"/>
  <c r="G187" i="15"/>
  <c r="Y185" i="15"/>
  <c r="W30" i="21" s="1"/>
  <c r="X185" i="15"/>
  <c r="V30" i="21" s="1"/>
  <c r="W185" i="15"/>
  <c r="U30" i="21" s="1"/>
  <c r="V185" i="15"/>
  <c r="T30" i="21" s="1"/>
  <c r="U185" i="15"/>
  <c r="S30" i="21" s="1"/>
  <c r="T185" i="15"/>
  <c r="R30" i="21" s="1"/>
  <c r="S185" i="15"/>
  <c r="Q30" i="21" s="1"/>
  <c r="R185" i="15"/>
  <c r="P30" i="21" s="1"/>
  <c r="Q185" i="15"/>
  <c r="O30" i="21" s="1"/>
  <c r="P185" i="15"/>
  <c r="N30" i="21" s="1"/>
  <c r="O185" i="15"/>
  <c r="M30" i="21" s="1"/>
  <c r="N185" i="15"/>
  <c r="L30" i="21" s="1"/>
  <c r="L185" i="15"/>
  <c r="J30" i="21" s="1"/>
  <c r="K185" i="15"/>
  <c r="I30" i="21" s="1"/>
  <c r="J185" i="15"/>
  <c r="H30" i="21" s="1"/>
  <c r="I185" i="15"/>
  <c r="G30" i="21" s="1"/>
  <c r="H185" i="15"/>
  <c r="F30" i="21" s="1"/>
  <c r="M182" i="15"/>
  <c r="G182" i="15"/>
  <c r="M181" i="15"/>
  <c r="G181" i="15"/>
  <c r="M180" i="15"/>
  <c r="G180" i="15"/>
  <c r="M179" i="15"/>
  <c r="G179" i="15"/>
  <c r="M177" i="15"/>
  <c r="G177" i="15"/>
  <c r="M175" i="15"/>
  <c r="G175" i="15"/>
  <c r="M174" i="15"/>
  <c r="G174" i="15"/>
  <c r="X171" i="15"/>
  <c r="X162" i="15" s="1"/>
  <c r="V29" i="21" s="1"/>
  <c r="V171" i="15"/>
  <c r="V162" i="15" s="1"/>
  <c r="T29" i="21" s="1"/>
  <c r="S171" i="15"/>
  <c r="S162" i="15" s="1"/>
  <c r="Q29" i="21" s="1"/>
  <c r="R171" i="15"/>
  <c r="R162" i="15" s="1"/>
  <c r="P29" i="21" s="1"/>
  <c r="P171" i="15"/>
  <c r="P162" i="15" s="1"/>
  <c r="N29" i="21" s="1"/>
  <c r="N171" i="15"/>
  <c r="G171" i="15"/>
  <c r="M170" i="15"/>
  <c r="G170" i="15"/>
  <c r="M169" i="15"/>
  <c r="G169" i="15"/>
  <c r="M168" i="15"/>
  <c r="G168" i="15"/>
  <c r="M167" i="15"/>
  <c r="G167" i="15"/>
  <c r="M164" i="15"/>
  <c r="G164" i="15"/>
  <c r="Y162" i="15"/>
  <c r="W29" i="21" s="1"/>
  <c r="W162" i="15"/>
  <c r="U29" i="21" s="1"/>
  <c r="U162" i="15"/>
  <c r="S29" i="21" s="1"/>
  <c r="T162" i="15"/>
  <c r="R29" i="21" s="1"/>
  <c r="Q162" i="15"/>
  <c r="O29" i="21" s="1"/>
  <c r="O162" i="15"/>
  <c r="M29" i="21" s="1"/>
  <c r="L162" i="15"/>
  <c r="J29" i="21" s="1"/>
  <c r="K162" i="15"/>
  <c r="I29" i="21" s="1"/>
  <c r="J162" i="15"/>
  <c r="H29" i="21" s="1"/>
  <c r="I162" i="15"/>
  <c r="G29" i="21" s="1"/>
  <c r="H162" i="15"/>
  <c r="F29" i="21" s="1"/>
  <c r="M161" i="15"/>
  <c r="G161" i="15"/>
  <c r="M160" i="15"/>
  <c r="G160" i="15"/>
  <c r="M158" i="15"/>
  <c r="G158" i="15"/>
  <c r="M153" i="15"/>
  <c r="G153" i="15"/>
  <c r="M152" i="15"/>
  <c r="G152" i="15"/>
  <c r="M151" i="15"/>
  <c r="G151" i="15"/>
  <c r="Y149" i="15"/>
  <c r="W28" i="21" s="1"/>
  <c r="X149" i="15"/>
  <c r="V28" i="21" s="1"/>
  <c r="W149" i="15"/>
  <c r="U28" i="21" s="1"/>
  <c r="V149" i="15"/>
  <c r="T28" i="21" s="1"/>
  <c r="U149" i="15"/>
  <c r="S28" i="21" s="1"/>
  <c r="T149" i="15"/>
  <c r="R28" i="21" s="1"/>
  <c r="S149" i="15"/>
  <c r="Q28" i="21" s="1"/>
  <c r="R149" i="15"/>
  <c r="P28" i="21" s="1"/>
  <c r="Q149" i="15"/>
  <c r="O28" i="21" s="1"/>
  <c r="P149" i="15"/>
  <c r="N28" i="21" s="1"/>
  <c r="O149" i="15"/>
  <c r="M28" i="21" s="1"/>
  <c r="N149" i="15"/>
  <c r="L28" i="21" s="1"/>
  <c r="L149" i="15"/>
  <c r="J28" i="21" s="1"/>
  <c r="K149" i="15"/>
  <c r="I28" i="21" s="1"/>
  <c r="J149" i="15"/>
  <c r="I149" i="15"/>
  <c r="G28" i="21" s="1"/>
  <c r="H149" i="15"/>
  <c r="F28" i="21" s="1"/>
  <c r="M147" i="15"/>
  <c r="G147" i="15"/>
  <c r="M146" i="15"/>
  <c r="G146" i="15"/>
  <c r="M145" i="15"/>
  <c r="G145" i="15"/>
  <c r="M143" i="15"/>
  <c r="G143" i="15"/>
  <c r="M142" i="15"/>
  <c r="G142" i="15"/>
  <c r="M141" i="15"/>
  <c r="G141" i="15"/>
  <c r="M140" i="15"/>
  <c r="G140" i="15"/>
  <c r="M139" i="15"/>
  <c r="G139" i="15"/>
  <c r="M138" i="15"/>
  <c r="G138" i="15"/>
  <c r="M137" i="15"/>
  <c r="G137" i="15"/>
  <c r="M133" i="15"/>
  <c r="G133" i="15"/>
  <c r="M132" i="15"/>
  <c r="G132" i="15"/>
  <c r="M131" i="15"/>
  <c r="G131" i="15"/>
  <c r="M130" i="15"/>
  <c r="G130" i="15"/>
  <c r="M129" i="15"/>
  <c r="G129" i="15"/>
  <c r="M127" i="15"/>
  <c r="G127" i="15"/>
  <c r="M123" i="15"/>
  <c r="G123" i="15"/>
  <c r="M122" i="15"/>
  <c r="G122" i="15"/>
  <c r="M119" i="15"/>
  <c r="G119" i="15"/>
  <c r="Y117" i="15"/>
  <c r="W26" i="21" s="1"/>
  <c r="X117" i="15"/>
  <c r="V26" i="21" s="1"/>
  <c r="W117" i="15"/>
  <c r="U26" i="21" s="1"/>
  <c r="V117" i="15"/>
  <c r="T26" i="21" s="1"/>
  <c r="U117" i="15"/>
  <c r="S26" i="21" s="1"/>
  <c r="T117" i="15"/>
  <c r="R26" i="21" s="1"/>
  <c r="S117" i="15"/>
  <c r="Q26" i="21" s="1"/>
  <c r="R117" i="15"/>
  <c r="P26" i="21" s="1"/>
  <c r="Q117" i="15"/>
  <c r="O26" i="21" s="1"/>
  <c r="P117" i="15"/>
  <c r="N26" i="21" s="1"/>
  <c r="O117" i="15"/>
  <c r="M26" i="21" s="1"/>
  <c r="N117" i="15"/>
  <c r="L26" i="21" s="1"/>
  <c r="L117" i="15"/>
  <c r="J26" i="21" s="1"/>
  <c r="K117" i="15"/>
  <c r="I26" i="21" s="1"/>
  <c r="J117" i="15"/>
  <c r="H26" i="21" s="1"/>
  <c r="I117" i="15"/>
  <c r="G26" i="21" s="1"/>
  <c r="H117" i="15"/>
  <c r="F26" i="21" s="1"/>
  <c r="M114" i="15"/>
  <c r="H114" i="15"/>
  <c r="G114" i="15" s="1"/>
  <c r="M113" i="15"/>
  <c r="G113" i="15"/>
  <c r="M112" i="15"/>
  <c r="G112" i="15"/>
  <c r="M110" i="15"/>
  <c r="H110" i="15"/>
  <c r="G110" i="15" s="1"/>
  <c r="M109" i="15"/>
  <c r="G109" i="15"/>
  <c r="M108" i="15"/>
  <c r="G108" i="15"/>
  <c r="M106" i="15"/>
  <c r="G106" i="15"/>
  <c r="M105" i="15"/>
  <c r="G105" i="15"/>
  <c r="M104" i="15"/>
  <c r="G104" i="15"/>
  <c r="M101" i="15"/>
  <c r="G101" i="15"/>
  <c r="Y96" i="15"/>
  <c r="W25" i="21" s="1"/>
  <c r="X96" i="15"/>
  <c r="V25" i="21" s="1"/>
  <c r="W96" i="15"/>
  <c r="U25" i="21" s="1"/>
  <c r="V96" i="15"/>
  <c r="T25" i="21" s="1"/>
  <c r="U96" i="15"/>
  <c r="S25" i="21" s="1"/>
  <c r="T96" i="15"/>
  <c r="R25" i="21" s="1"/>
  <c r="S96" i="15"/>
  <c r="Q25" i="21" s="1"/>
  <c r="R96" i="15"/>
  <c r="P25" i="21" s="1"/>
  <c r="Q96" i="15"/>
  <c r="O25" i="21" s="1"/>
  <c r="P96" i="15"/>
  <c r="N25" i="21" s="1"/>
  <c r="O96" i="15"/>
  <c r="M25" i="21" s="1"/>
  <c r="N96" i="15"/>
  <c r="L25" i="21" s="1"/>
  <c r="L96" i="15"/>
  <c r="J25" i="21" s="1"/>
  <c r="K96" i="15"/>
  <c r="I25" i="21" s="1"/>
  <c r="J96" i="15"/>
  <c r="H25" i="21" s="1"/>
  <c r="I96" i="15"/>
  <c r="G25" i="21" s="1"/>
  <c r="H96" i="15"/>
  <c r="F25" i="21" s="1"/>
  <c r="M95" i="15"/>
  <c r="G95" i="15"/>
  <c r="M94" i="15"/>
  <c r="G94" i="15"/>
  <c r="M93" i="15"/>
  <c r="G93" i="15"/>
  <c r="M92" i="15"/>
  <c r="G92" i="15"/>
  <c r="M91" i="15"/>
  <c r="G91" i="15"/>
  <c r="M89" i="15"/>
  <c r="G89" i="15"/>
  <c r="M78" i="15"/>
  <c r="G78" i="15"/>
  <c r="Y77" i="15"/>
  <c r="W24" i="21" s="1"/>
  <c r="X77" i="15"/>
  <c r="V24" i="21" s="1"/>
  <c r="W77" i="15"/>
  <c r="U24" i="21" s="1"/>
  <c r="V77" i="15"/>
  <c r="T24" i="21" s="1"/>
  <c r="U77" i="15"/>
  <c r="S24" i="21" s="1"/>
  <c r="T77" i="15"/>
  <c r="R24" i="21" s="1"/>
  <c r="S77" i="15"/>
  <c r="Q24" i="21" s="1"/>
  <c r="R77" i="15"/>
  <c r="P24" i="21" s="1"/>
  <c r="Q77" i="15"/>
  <c r="O24" i="21" s="1"/>
  <c r="P77" i="15"/>
  <c r="N24" i="21" s="1"/>
  <c r="O77" i="15"/>
  <c r="M24" i="21" s="1"/>
  <c r="N77" i="15"/>
  <c r="L24" i="21" s="1"/>
  <c r="L77" i="15"/>
  <c r="J24" i="21" s="1"/>
  <c r="K77" i="15"/>
  <c r="I24" i="21" s="1"/>
  <c r="J77" i="15"/>
  <c r="H24" i="21" s="1"/>
  <c r="I77" i="15"/>
  <c r="G24" i="21" s="1"/>
  <c r="H77" i="15"/>
  <c r="F24" i="21" s="1"/>
  <c r="M76" i="15"/>
  <c r="G76" i="15"/>
  <c r="M75" i="15"/>
  <c r="G75" i="15"/>
  <c r="M74" i="15"/>
  <c r="G74" i="15"/>
  <c r="M71" i="15"/>
  <c r="G71" i="15"/>
  <c r="M70" i="15"/>
  <c r="G70" i="15"/>
  <c r="M67" i="15"/>
  <c r="G67" i="15"/>
  <c r="M66" i="15"/>
  <c r="G66" i="15"/>
  <c r="M64" i="15"/>
  <c r="G64" i="15"/>
  <c r="M59" i="15"/>
  <c r="G59" i="15"/>
  <c r="M56" i="15"/>
  <c r="G56" i="15"/>
  <c r="M55" i="15"/>
  <c r="G55" i="15"/>
  <c r="Y52" i="15"/>
  <c r="W23" i="21" s="1"/>
  <c r="X52" i="15"/>
  <c r="V23" i="21" s="1"/>
  <c r="W52" i="15"/>
  <c r="U23" i="21" s="1"/>
  <c r="V52" i="15"/>
  <c r="T23" i="21" s="1"/>
  <c r="U52" i="15"/>
  <c r="S23" i="21" s="1"/>
  <c r="T52" i="15"/>
  <c r="R23" i="21" s="1"/>
  <c r="S52" i="15"/>
  <c r="Q23" i="21" s="1"/>
  <c r="R52" i="15"/>
  <c r="P23" i="21" s="1"/>
  <c r="Q52" i="15"/>
  <c r="O23" i="21" s="1"/>
  <c r="P52" i="15"/>
  <c r="N23" i="21" s="1"/>
  <c r="O52" i="15"/>
  <c r="M23" i="21" s="1"/>
  <c r="N52" i="15"/>
  <c r="L23" i="21" s="1"/>
  <c r="L52" i="15"/>
  <c r="K52" i="15"/>
  <c r="I23" i="21" s="1"/>
  <c r="J52" i="15"/>
  <c r="H23" i="21" s="1"/>
  <c r="I52" i="15"/>
  <c r="H52" i="15"/>
  <c r="M50" i="15"/>
  <c r="G50" i="15"/>
  <c r="M47" i="15"/>
  <c r="G47" i="15"/>
  <c r="Y46" i="15"/>
  <c r="W21" i="21" s="1"/>
  <c r="X46" i="15"/>
  <c r="V21" i="21" s="1"/>
  <c r="W46" i="15"/>
  <c r="U21" i="21" s="1"/>
  <c r="V46" i="15"/>
  <c r="T21" i="21" s="1"/>
  <c r="U46" i="15"/>
  <c r="S21" i="21" s="1"/>
  <c r="T46" i="15"/>
  <c r="R21" i="21" s="1"/>
  <c r="S46" i="15"/>
  <c r="Q21" i="21" s="1"/>
  <c r="R46" i="15"/>
  <c r="P21" i="21" s="1"/>
  <c r="Q46" i="15"/>
  <c r="O21" i="21" s="1"/>
  <c r="P46" i="15"/>
  <c r="N21" i="21" s="1"/>
  <c r="O46" i="15"/>
  <c r="M21" i="21" s="1"/>
  <c r="N46" i="15"/>
  <c r="L21" i="21" s="1"/>
  <c r="L46" i="15"/>
  <c r="J21" i="21" s="1"/>
  <c r="K46" i="15"/>
  <c r="I21" i="21" s="1"/>
  <c r="J46" i="15"/>
  <c r="H21" i="21" s="1"/>
  <c r="I46" i="15"/>
  <c r="G21" i="21" s="1"/>
  <c r="H46" i="15"/>
  <c r="F21" i="21" s="1"/>
  <c r="M44" i="15"/>
  <c r="G44" i="15"/>
  <c r="M43" i="15"/>
  <c r="G43" i="15"/>
  <c r="M42" i="15"/>
  <c r="G42" i="15"/>
  <c r="M41" i="15"/>
  <c r="G41" i="15"/>
  <c r="M40" i="15"/>
  <c r="G40" i="15"/>
  <c r="M39" i="15"/>
  <c r="G39" i="15"/>
  <c r="M38" i="15"/>
  <c r="G38" i="15"/>
  <c r="M37" i="15"/>
  <c r="G37" i="15"/>
  <c r="M36" i="15"/>
  <c r="G36" i="15"/>
  <c r="Y34" i="15"/>
  <c r="W20" i="21" s="1"/>
  <c r="X34" i="15"/>
  <c r="V20" i="21" s="1"/>
  <c r="W34" i="15"/>
  <c r="U20" i="21" s="1"/>
  <c r="V34" i="15"/>
  <c r="T20" i="21" s="1"/>
  <c r="U34" i="15"/>
  <c r="S20" i="21" s="1"/>
  <c r="T34" i="15"/>
  <c r="R20" i="21" s="1"/>
  <c r="S34" i="15"/>
  <c r="Q20" i="21" s="1"/>
  <c r="R34" i="15"/>
  <c r="P20" i="21" s="1"/>
  <c r="Q34" i="15"/>
  <c r="O20" i="21" s="1"/>
  <c r="P34" i="15"/>
  <c r="N20" i="21" s="1"/>
  <c r="O34" i="15"/>
  <c r="M20" i="21" s="1"/>
  <c r="N34" i="15"/>
  <c r="L20" i="21" s="1"/>
  <c r="L34" i="15"/>
  <c r="J20" i="21" s="1"/>
  <c r="K34" i="15"/>
  <c r="I20" i="21" s="1"/>
  <c r="J34" i="15"/>
  <c r="H20" i="21" s="1"/>
  <c r="I34" i="15"/>
  <c r="G20" i="21" s="1"/>
  <c r="H34" i="15"/>
  <c r="M33" i="15"/>
  <c r="G33" i="15"/>
  <c r="M32" i="15"/>
  <c r="G32" i="15"/>
  <c r="M31" i="15"/>
  <c r="G31" i="15"/>
  <c r="M30" i="15"/>
  <c r="G30" i="15"/>
  <c r="M29" i="15"/>
  <c r="G29" i="15"/>
  <c r="M28" i="15"/>
  <c r="G28" i="15"/>
  <c r="M25" i="15"/>
  <c r="G25" i="15"/>
  <c r="M24" i="15"/>
  <c r="G24" i="15"/>
  <c r="Y22" i="15"/>
  <c r="X22" i="15"/>
  <c r="W22" i="15"/>
  <c r="V22" i="15"/>
  <c r="U22" i="15"/>
  <c r="T22" i="15"/>
  <c r="S22" i="15"/>
  <c r="R22" i="15"/>
  <c r="Q22" i="15"/>
  <c r="P22" i="15"/>
  <c r="O22" i="15"/>
  <c r="N22" i="15"/>
  <c r="L22" i="15"/>
  <c r="J19" i="21" s="1"/>
  <c r="K22" i="15"/>
  <c r="J22" i="15"/>
  <c r="H19" i="21" s="1"/>
  <c r="I22" i="15"/>
  <c r="G19" i="21" s="1"/>
  <c r="M21" i="15"/>
  <c r="G21" i="15"/>
  <c r="M18" i="15"/>
  <c r="G18" i="15"/>
  <c r="M17" i="15"/>
  <c r="G17" i="15"/>
  <c r="M16" i="15"/>
  <c r="G16" i="15"/>
  <c r="M15" i="15"/>
  <c r="G15" i="15"/>
  <c r="M14" i="15"/>
  <c r="G14" i="15"/>
  <c r="M13" i="15"/>
  <c r="G13" i="15"/>
  <c r="Y10" i="15"/>
  <c r="W18" i="21" s="1"/>
  <c r="X10" i="15"/>
  <c r="V18" i="21" s="1"/>
  <c r="W10" i="15"/>
  <c r="U18" i="21" s="1"/>
  <c r="V10" i="15"/>
  <c r="T18" i="21" s="1"/>
  <c r="U10" i="15"/>
  <c r="S18" i="21" s="1"/>
  <c r="T10" i="15"/>
  <c r="R18" i="21" s="1"/>
  <c r="S10" i="15"/>
  <c r="Q18" i="21" s="1"/>
  <c r="R10" i="15"/>
  <c r="P18" i="21" s="1"/>
  <c r="Q10" i="15"/>
  <c r="O18" i="21" s="1"/>
  <c r="P10" i="15"/>
  <c r="N18" i="21" s="1"/>
  <c r="O10" i="15"/>
  <c r="M18" i="21" s="1"/>
  <c r="N10" i="15"/>
  <c r="L18" i="21" s="1"/>
  <c r="L10" i="15"/>
  <c r="J18" i="21" s="1"/>
  <c r="K10" i="15"/>
  <c r="I18" i="21" s="1"/>
  <c r="J10" i="15"/>
  <c r="I10" i="15"/>
  <c r="C52" i="14"/>
  <c r="C51" i="14"/>
  <c r="C50" i="14"/>
  <c r="C49" i="14"/>
  <c r="O48" i="14"/>
  <c r="N48" i="14"/>
  <c r="M48" i="14"/>
  <c r="L48" i="14"/>
  <c r="K48" i="14"/>
  <c r="J48" i="14"/>
  <c r="I48" i="14"/>
  <c r="H48" i="14"/>
  <c r="G48" i="14"/>
  <c r="F48" i="14"/>
  <c r="E48" i="14"/>
  <c r="D48" i="14"/>
  <c r="C47" i="14"/>
  <c r="C46" i="14"/>
  <c r="C45" i="14"/>
  <c r="C44" i="14"/>
  <c r="O43" i="14"/>
  <c r="N43" i="14"/>
  <c r="M43" i="14"/>
  <c r="L43" i="14"/>
  <c r="K43" i="14"/>
  <c r="J43" i="14"/>
  <c r="I43" i="14"/>
  <c r="H43" i="14"/>
  <c r="G43" i="14"/>
  <c r="F43" i="14"/>
  <c r="E43" i="14"/>
  <c r="D43" i="14"/>
  <c r="C42" i="14"/>
  <c r="C41" i="14"/>
  <c r="C40" i="14"/>
  <c r="O39" i="14"/>
  <c r="N39" i="14"/>
  <c r="M39" i="14"/>
  <c r="L39" i="14"/>
  <c r="K39" i="14"/>
  <c r="J39" i="14"/>
  <c r="I39" i="14"/>
  <c r="H39" i="14"/>
  <c r="G39" i="14"/>
  <c r="F39" i="14"/>
  <c r="E39" i="14"/>
  <c r="D39" i="14"/>
  <c r="C38" i="14"/>
  <c r="C37" i="14"/>
  <c r="C36" i="14"/>
  <c r="C35" i="14"/>
  <c r="C34" i="14"/>
  <c r="C33" i="14"/>
  <c r="C32" i="14"/>
  <c r="C31" i="14"/>
  <c r="C30" i="14"/>
  <c r="C29" i="14"/>
  <c r="C28" i="14"/>
  <c r="C27" i="14"/>
  <c r="C26" i="14"/>
  <c r="C25" i="14"/>
  <c r="C24" i="14"/>
  <c r="C23" i="14"/>
  <c r="C22" i="14"/>
  <c r="C21" i="14"/>
  <c r="O20" i="14"/>
  <c r="N20" i="14"/>
  <c r="M20" i="14"/>
  <c r="L20" i="14"/>
  <c r="K20" i="14"/>
  <c r="J20" i="14"/>
  <c r="I20" i="14"/>
  <c r="H20" i="14"/>
  <c r="G20" i="14"/>
  <c r="F20" i="14"/>
  <c r="E20" i="14"/>
  <c r="D20" i="14"/>
  <c r="C20" i="14" s="1"/>
  <c r="C19" i="14"/>
  <c r="C18" i="14"/>
  <c r="C17" i="14"/>
  <c r="C16" i="14"/>
  <c r="C15" i="14"/>
  <c r="O14" i="14"/>
  <c r="N14" i="14"/>
  <c r="M14" i="14"/>
  <c r="L14" i="14"/>
  <c r="K14" i="14"/>
  <c r="J14" i="14"/>
  <c r="I14" i="14"/>
  <c r="H14" i="14"/>
  <c r="G14" i="14"/>
  <c r="F14" i="14"/>
  <c r="E14" i="14"/>
  <c r="D14" i="14"/>
  <c r="C13" i="14"/>
  <c r="C12" i="14"/>
  <c r="C11" i="14"/>
  <c r="C10" i="14"/>
  <c r="O9" i="14"/>
  <c r="N9" i="14"/>
  <c r="M9" i="14"/>
  <c r="L9" i="14"/>
  <c r="K9" i="14"/>
  <c r="J9" i="14"/>
  <c r="I9" i="14"/>
  <c r="H9" i="14"/>
  <c r="G9" i="14"/>
  <c r="F9" i="14"/>
  <c r="E9" i="14"/>
  <c r="C9" i="14" s="1"/>
  <c r="D9" i="14"/>
  <c r="H8" i="14"/>
  <c r="C6" i="14"/>
  <c r="O5" i="14"/>
  <c r="O7" i="14" s="1"/>
  <c r="N5" i="14"/>
  <c r="N7" i="14" s="1"/>
  <c r="M5" i="14"/>
  <c r="M7" i="14" s="1"/>
  <c r="L5" i="14"/>
  <c r="L7" i="14" s="1"/>
  <c r="K5" i="14"/>
  <c r="K7" i="14" s="1"/>
  <c r="J5" i="14"/>
  <c r="J7" i="14" s="1"/>
  <c r="I5" i="14"/>
  <c r="I7" i="14" s="1"/>
  <c r="H5" i="14"/>
  <c r="H7" i="14" s="1"/>
  <c r="G5" i="14"/>
  <c r="G7" i="14" s="1"/>
  <c r="F5" i="14"/>
  <c r="F7" i="14" s="1"/>
  <c r="E5" i="14"/>
  <c r="E7" i="14" s="1"/>
  <c r="D5" i="14"/>
  <c r="D7" i="14" s="1"/>
  <c r="C4" i="14"/>
  <c r="C3" i="14"/>
  <c r="E48" i="13"/>
  <c r="F48" i="13"/>
  <c r="G48" i="13"/>
  <c r="H48" i="13"/>
  <c r="I48" i="13"/>
  <c r="J48" i="13"/>
  <c r="K48" i="13"/>
  <c r="L48" i="13"/>
  <c r="M48" i="13"/>
  <c r="N48" i="13"/>
  <c r="O48" i="13"/>
  <c r="D48" i="13"/>
  <c r="E43" i="13"/>
  <c r="F43" i="13"/>
  <c r="G43" i="13"/>
  <c r="H43" i="13"/>
  <c r="I43" i="13"/>
  <c r="J43" i="13"/>
  <c r="K43" i="13"/>
  <c r="L43" i="13"/>
  <c r="M43" i="13"/>
  <c r="N43" i="13"/>
  <c r="O43" i="13"/>
  <c r="D43" i="13"/>
  <c r="E39" i="13"/>
  <c r="F39" i="13"/>
  <c r="G39" i="13"/>
  <c r="H39" i="13"/>
  <c r="I39" i="13"/>
  <c r="J39" i="13"/>
  <c r="K39" i="13"/>
  <c r="L39" i="13"/>
  <c r="M39" i="13"/>
  <c r="N39" i="13"/>
  <c r="O39" i="13"/>
  <c r="D39" i="13"/>
  <c r="E20" i="13"/>
  <c r="F20" i="13"/>
  <c r="G20" i="13"/>
  <c r="H20" i="13"/>
  <c r="I20" i="13"/>
  <c r="J20" i="13"/>
  <c r="K20" i="13"/>
  <c r="L20" i="13"/>
  <c r="M20" i="13"/>
  <c r="N20" i="13"/>
  <c r="O20" i="13"/>
  <c r="D20" i="13"/>
  <c r="E14" i="13"/>
  <c r="F14" i="13"/>
  <c r="G14" i="13"/>
  <c r="H14" i="13"/>
  <c r="I14" i="13"/>
  <c r="J14" i="13"/>
  <c r="K14" i="13"/>
  <c r="L14" i="13"/>
  <c r="M14" i="13"/>
  <c r="N14" i="13"/>
  <c r="O14" i="13"/>
  <c r="D14" i="13"/>
  <c r="E9" i="13"/>
  <c r="F9" i="13"/>
  <c r="F8" i="13" s="1"/>
  <c r="G9" i="13"/>
  <c r="H9" i="13"/>
  <c r="I9" i="13"/>
  <c r="I8" i="13" s="1"/>
  <c r="J9" i="13"/>
  <c r="J8" i="13" s="1"/>
  <c r="K9" i="13"/>
  <c r="L9" i="13"/>
  <c r="M9" i="13"/>
  <c r="M8" i="13" s="1"/>
  <c r="N9" i="13"/>
  <c r="N8" i="13" s="1"/>
  <c r="O9" i="13"/>
  <c r="D9" i="13"/>
  <c r="H8" i="13"/>
  <c r="L8" i="13"/>
  <c r="E8" i="13"/>
  <c r="C52" i="13"/>
  <c r="C10" i="13"/>
  <c r="C11" i="13"/>
  <c r="C12" i="13"/>
  <c r="C13" i="13"/>
  <c r="C15" i="13"/>
  <c r="C16" i="13"/>
  <c r="C17" i="13"/>
  <c r="C18" i="13"/>
  <c r="C19" i="13"/>
  <c r="C21" i="13"/>
  <c r="C22" i="13"/>
  <c r="C23" i="13"/>
  <c r="C24" i="13"/>
  <c r="C25" i="13"/>
  <c r="C26" i="13"/>
  <c r="C27" i="13"/>
  <c r="C28" i="13"/>
  <c r="C29" i="13"/>
  <c r="C30" i="13"/>
  <c r="C31" i="13"/>
  <c r="C32" i="13"/>
  <c r="C33" i="13"/>
  <c r="C34" i="13"/>
  <c r="C35" i="13"/>
  <c r="C36" i="13"/>
  <c r="C37" i="13"/>
  <c r="C38" i="13"/>
  <c r="C40" i="13"/>
  <c r="C41" i="13"/>
  <c r="C42" i="13"/>
  <c r="C44" i="13"/>
  <c r="C45" i="13"/>
  <c r="C46" i="13"/>
  <c r="C47" i="13"/>
  <c r="C49" i="13"/>
  <c r="C50" i="13"/>
  <c r="C51" i="13"/>
  <c r="C6" i="13"/>
  <c r="E5" i="13"/>
  <c r="E7" i="13" s="1"/>
  <c r="F5" i="13"/>
  <c r="F7" i="13" s="1"/>
  <c r="G5" i="13"/>
  <c r="G7" i="13" s="1"/>
  <c r="H5" i="13"/>
  <c r="H7" i="13" s="1"/>
  <c r="I5" i="13"/>
  <c r="I7" i="13" s="1"/>
  <c r="J5" i="13"/>
  <c r="J7" i="13" s="1"/>
  <c r="K5" i="13"/>
  <c r="K7" i="13" s="1"/>
  <c r="L5" i="13"/>
  <c r="L7" i="13" s="1"/>
  <c r="M5" i="13"/>
  <c r="M7" i="13" s="1"/>
  <c r="N5" i="13"/>
  <c r="N7" i="13" s="1"/>
  <c r="O5" i="13"/>
  <c r="O7" i="13" s="1"/>
  <c r="D5" i="13"/>
  <c r="D7" i="13" s="1"/>
  <c r="C4" i="13"/>
  <c r="C3" i="13"/>
  <c r="H7" i="12"/>
  <c r="N50" i="12"/>
  <c r="D50" i="12"/>
  <c r="N49" i="12"/>
  <c r="G49" i="12"/>
  <c r="D49" i="12" s="1"/>
  <c r="C49" i="12" s="1"/>
  <c r="N48" i="12"/>
  <c r="D48" i="12"/>
  <c r="N47" i="12"/>
  <c r="D47" i="12"/>
  <c r="Z46" i="12"/>
  <c r="Y46" i="12"/>
  <c r="X46" i="12"/>
  <c r="W46" i="12"/>
  <c r="V46" i="12"/>
  <c r="T46" i="12"/>
  <c r="S46" i="12"/>
  <c r="R46" i="12"/>
  <c r="Q46" i="12"/>
  <c r="P46" i="12"/>
  <c r="O46" i="12"/>
  <c r="J46" i="12"/>
  <c r="H46" i="12"/>
  <c r="F46" i="12"/>
  <c r="E46" i="12"/>
  <c r="N45" i="12"/>
  <c r="D45" i="12"/>
  <c r="N44" i="12"/>
  <c r="D44" i="12"/>
  <c r="N43" i="12"/>
  <c r="D43" i="12"/>
  <c r="N42" i="12"/>
  <c r="H42" i="12"/>
  <c r="D42" i="12" s="1"/>
  <c r="Z41" i="12"/>
  <c r="Y41" i="12"/>
  <c r="X41" i="12"/>
  <c r="W41" i="12"/>
  <c r="V41" i="12"/>
  <c r="T41" i="12"/>
  <c r="S41" i="12"/>
  <c r="R41" i="12"/>
  <c r="Q41" i="12"/>
  <c r="P41" i="12"/>
  <c r="O41" i="12"/>
  <c r="J41" i="12"/>
  <c r="H41" i="12"/>
  <c r="G41" i="12"/>
  <c r="F41" i="12"/>
  <c r="E41" i="12"/>
  <c r="N40" i="12"/>
  <c r="D40" i="12"/>
  <c r="N39" i="12"/>
  <c r="D39" i="12"/>
  <c r="N38" i="12"/>
  <c r="D38" i="12"/>
  <c r="Z37" i="12"/>
  <c r="Y37" i="12"/>
  <c r="X37" i="12"/>
  <c r="W37" i="12"/>
  <c r="V37" i="12"/>
  <c r="T37" i="12"/>
  <c r="S37" i="12"/>
  <c r="R37" i="12"/>
  <c r="Q37" i="12"/>
  <c r="P37" i="12"/>
  <c r="O37" i="12"/>
  <c r="G37" i="12"/>
  <c r="D37" i="12" s="1"/>
  <c r="N36" i="12"/>
  <c r="D36" i="12"/>
  <c r="N35" i="12"/>
  <c r="D35" i="12"/>
  <c r="N34" i="12"/>
  <c r="D34" i="12"/>
  <c r="N33" i="12"/>
  <c r="D33" i="12"/>
  <c r="V32" i="12"/>
  <c r="N32" i="12" s="1"/>
  <c r="D32" i="12"/>
  <c r="V31" i="12"/>
  <c r="N31" i="12" s="1"/>
  <c r="D31" i="12"/>
  <c r="X30" i="12"/>
  <c r="V30" i="12"/>
  <c r="D30" i="12"/>
  <c r="V29" i="12"/>
  <c r="N29" i="12" s="1"/>
  <c r="D29" i="12"/>
  <c r="N28" i="12"/>
  <c r="D28" i="12"/>
  <c r="X27" i="12"/>
  <c r="V27" i="12"/>
  <c r="D27" i="12"/>
  <c r="X26" i="12"/>
  <c r="V26" i="12"/>
  <c r="D26" i="12"/>
  <c r="X25" i="12"/>
  <c r="V25" i="12"/>
  <c r="D25" i="12"/>
  <c r="X24" i="12"/>
  <c r="V24" i="12"/>
  <c r="H24" i="12"/>
  <c r="D24" i="12" s="1"/>
  <c r="N23" i="12"/>
  <c r="D23" i="12"/>
  <c r="V22" i="12"/>
  <c r="N22" i="12" s="1"/>
  <c r="D22" i="12"/>
  <c r="X21" i="12"/>
  <c r="V21" i="12"/>
  <c r="D21" i="12"/>
  <c r="X20" i="12"/>
  <c r="V20" i="12"/>
  <c r="D20" i="12"/>
  <c r="X19" i="12"/>
  <c r="V19" i="12"/>
  <c r="D19" i="12"/>
  <c r="Z18" i="12"/>
  <c r="Y18" i="12"/>
  <c r="W18" i="12"/>
  <c r="T18" i="12"/>
  <c r="S18" i="12"/>
  <c r="R18" i="12"/>
  <c r="P18" i="12"/>
  <c r="O18" i="12"/>
  <c r="M18" i="12"/>
  <c r="L18" i="12"/>
  <c r="K18" i="12"/>
  <c r="J18" i="12"/>
  <c r="I18" i="12"/>
  <c r="H18" i="12"/>
  <c r="G18" i="12"/>
  <c r="F18" i="12"/>
  <c r="E18" i="12"/>
  <c r="X17" i="12"/>
  <c r="V17" i="12"/>
  <c r="D17" i="12"/>
  <c r="X16" i="12"/>
  <c r="V16" i="12"/>
  <c r="D16" i="12"/>
  <c r="V15" i="12"/>
  <c r="N15" i="12" s="1"/>
  <c r="H15" i="12"/>
  <c r="X14" i="12"/>
  <c r="N14" i="12" s="1"/>
  <c r="H14" i="12"/>
  <c r="D14" i="12" s="1"/>
  <c r="X13" i="12"/>
  <c r="V13" i="12"/>
  <c r="D13" i="12"/>
  <c r="Z12" i="12"/>
  <c r="Y12" i="12"/>
  <c r="W12" i="12"/>
  <c r="U12" i="12"/>
  <c r="T12" i="12"/>
  <c r="S12" i="12"/>
  <c r="R12" i="12"/>
  <c r="Q12" i="12"/>
  <c r="P12" i="12"/>
  <c r="O12" i="12"/>
  <c r="M12" i="12"/>
  <c r="L12" i="12"/>
  <c r="K12" i="12"/>
  <c r="J12" i="12"/>
  <c r="I12" i="12"/>
  <c r="G12" i="12"/>
  <c r="F12" i="12"/>
  <c r="E12" i="12"/>
  <c r="N11" i="12"/>
  <c r="D11" i="12"/>
  <c r="N10" i="12"/>
  <c r="D10" i="12"/>
  <c r="N9" i="12"/>
  <c r="D9" i="12"/>
  <c r="V8" i="12"/>
  <c r="N8" i="12" s="1"/>
  <c r="D8" i="12"/>
  <c r="Z7" i="12"/>
  <c r="Y7" i="12"/>
  <c r="X7" i="12"/>
  <c r="W7" i="12"/>
  <c r="U7" i="12"/>
  <c r="T7" i="12"/>
  <c r="S7" i="12"/>
  <c r="R7" i="12"/>
  <c r="R6" i="12" s="1"/>
  <c r="Q7" i="12"/>
  <c r="P7" i="12"/>
  <c r="O7" i="12"/>
  <c r="M7" i="12"/>
  <c r="L7" i="12"/>
  <c r="K7" i="12"/>
  <c r="J7" i="12"/>
  <c r="I7" i="12"/>
  <c r="I6" i="12" s="1"/>
  <c r="G7" i="12"/>
  <c r="F7" i="12"/>
  <c r="E7" i="12"/>
  <c r="M6" i="12"/>
  <c r="D17" i="11"/>
  <c r="E17" i="11"/>
  <c r="C6" i="11"/>
  <c r="C7" i="11"/>
  <c r="C8" i="11"/>
  <c r="C9" i="11"/>
  <c r="C10" i="11"/>
  <c r="C11" i="11"/>
  <c r="C12" i="11"/>
  <c r="C13" i="11"/>
  <c r="C14" i="11"/>
  <c r="C15" i="11"/>
  <c r="C16" i="11"/>
  <c r="C5" i="11"/>
  <c r="C17" i="11" s="1"/>
  <c r="C5" i="14" l="1"/>
  <c r="C7" i="14" s="1"/>
  <c r="M269" i="15"/>
  <c r="L8" i="14"/>
  <c r="M279" i="15"/>
  <c r="N287" i="15"/>
  <c r="R263" i="15"/>
  <c r="P34" i="21" s="1"/>
  <c r="N506" i="15"/>
  <c r="L55" i="21" s="1"/>
  <c r="M267" i="15"/>
  <c r="N264" i="15"/>
  <c r="D7" i="12"/>
  <c r="S6" i="12"/>
  <c r="L6" i="12"/>
  <c r="C11" i="12"/>
  <c r="V12" i="12"/>
  <c r="C5" i="13"/>
  <c r="C7" i="13" s="1"/>
  <c r="D8" i="14"/>
  <c r="C14" i="14"/>
  <c r="E8" i="14"/>
  <c r="I8" i="14"/>
  <c r="M8" i="14"/>
  <c r="S325" i="15"/>
  <c r="Q36" i="21" s="1"/>
  <c r="M408" i="15"/>
  <c r="Q522" i="15"/>
  <c r="J6" i="12"/>
  <c r="C31" i="12"/>
  <c r="C45" i="12"/>
  <c r="F8" i="14"/>
  <c r="J8" i="14"/>
  <c r="N8" i="14"/>
  <c r="C43" i="14"/>
  <c r="C48" i="14"/>
  <c r="G399" i="15"/>
  <c r="H395" i="15"/>
  <c r="G395" i="15" s="1"/>
  <c r="D12" i="16"/>
  <c r="D14" i="16" s="1"/>
  <c r="M14" i="16"/>
  <c r="N263" i="15"/>
  <c r="L34" i="21" s="1"/>
  <c r="O6" i="12"/>
  <c r="K8" i="13"/>
  <c r="G8" i="13"/>
  <c r="O8" i="13"/>
  <c r="G8" i="14"/>
  <c r="K8" i="14"/>
  <c r="O8" i="14"/>
  <c r="C39" i="14"/>
  <c r="X212" i="15"/>
  <c r="V32" i="21" s="1"/>
  <c r="P264" i="15"/>
  <c r="P263" i="15"/>
  <c r="X263" i="15"/>
  <c r="V34" i="21" s="1"/>
  <c r="F42" i="21"/>
  <c r="G385" i="15"/>
  <c r="F44" i="26"/>
  <c r="F16" i="26" s="1"/>
  <c r="E25" i="21"/>
  <c r="E41" i="21"/>
  <c r="E54" i="21"/>
  <c r="E24" i="21"/>
  <c r="E47" i="21"/>
  <c r="E31" i="21"/>
  <c r="L19" i="17"/>
  <c r="L19" i="21"/>
  <c r="P19" i="17"/>
  <c r="P19" i="21"/>
  <c r="T19" i="17"/>
  <c r="T19" i="21"/>
  <c r="F20" i="21"/>
  <c r="E20" i="21" s="1"/>
  <c r="F23" i="21"/>
  <c r="J23" i="21"/>
  <c r="E29" i="21"/>
  <c r="E51" i="21"/>
  <c r="E56" i="21"/>
  <c r="E59" i="21"/>
  <c r="E60" i="21"/>
  <c r="E61" i="21"/>
  <c r="M19" i="17"/>
  <c r="M19" i="21"/>
  <c r="Q19" i="17"/>
  <c r="Q19" i="21"/>
  <c r="U19" i="17"/>
  <c r="U19" i="21"/>
  <c r="G23" i="21"/>
  <c r="H28" i="21"/>
  <c r="E28" i="21" s="1"/>
  <c r="E36" i="21"/>
  <c r="I38" i="21"/>
  <c r="E38" i="21" s="1"/>
  <c r="E44" i="21"/>
  <c r="E48" i="21"/>
  <c r="E55" i="21"/>
  <c r="F58" i="21"/>
  <c r="J58" i="21"/>
  <c r="O58" i="21"/>
  <c r="G18" i="21"/>
  <c r="I19" i="17"/>
  <c r="I19" i="21"/>
  <c r="E19" i="21" s="1"/>
  <c r="N19" i="17"/>
  <c r="N19" i="21"/>
  <c r="R19" i="17"/>
  <c r="R19" i="21"/>
  <c r="V19" i="17"/>
  <c r="V19" i="21"/>
  <c r="E30" i="21"/>
  <c r="E33" i="21"/>
  <c r="G58" i="21"/>
  <c r="L58" i="21"/>
  <c r="P58" i="21"/>
  <c r="T58" i="21"/>
  <c r="H18" i="21"/>
  <c r="O19" i="17"/>
  <c r="O19" i="21"/>
  <c r="S19" i="17"/>
  <c r="S19" i="21"/>
  <c r="W19" i="17"/>
  <c r="W19" i="21"/>
  <c r="E21" i="21"/>
  <c r="E26" i="21"/>
  <c r="E32" i="21"/>
  <c r="E39" i="21"/>
  <c r="E42" i="21"/>
  <c r="E45" i="21"/>
  <c r="E46" i="21"/>
  <c r="E49" i="21"/>
  <c r="E50" i="21"/>
  <c r="I17" i="11"/>
  <c r="I25" i="17"/>
  <c r="N25" i="17"/>
  <c r="R25" i="17"/>
  <c r="V25" i="17"/>
  <c r="I31" i="17"/>
  <c r="O31" i="17"/>
  <c r="S31" i="17"/>
  <c r="W31" i="17"/>
  <c r="H35" i="17"/>
  <c r="N35" i="17"/>
  <c r="R35" i="17"/>
  <c r="V35" i="17"/>
  <c r="H41" i="17"/>
  <c r="M41" i="17"/>
  <c r="Q41" i="17"/>
  <c r="U41" i="17"/>
  <c r="G42" i="17"/>
  <c r="L42" i="17"/>
  <c r="P42" i="17"/>
  <c r="T42" i="17"/>
  <c r="G46" i="17"/>
  <c r="L46" i="17"/>
  <c r="P46" i="17"/>
  <c r="T46" i="17"/>
  <c r="H47" i="17"/>
  <c r="M47" i="17"/>
  <c r="Q47" i="17"/>
  <c r="U47" i="17"/>
  <c r="N53" i="17"/>
  <c r="R53" i="17"/>
  <c r="V53" i="17"/>
  <c r="H54" i="17"/>
  <c r="M54" i="17"/>
  <c r="Q54" i="17"/>
  <c r="U54" i="17"/>
  <c r="I55" i="17"/>
  <c r="O55" i="17"/>
  <c r="S55" i="17"/>
  <c r="V55" i="17"/>
  <c r="F56" i="17"/>
  <c r="J56" i="17"/>
  <c r="O56" i="17"/>
  <c r="S56" i="17"/>
  <c r="W56" i="17"/>
  <c r="I58" i="17"/>
  <c r="N58" i="17"/>
  <c r="R58" i="17"/>
  <c r="V58" i="17"/>
  <c r="F59" i="17"/>
  <c r="J59" i="17"/>
  <c r="O59" i="17"/>
  <c r="S59" i="17"/>
  <c r="W59" i="17"/>
  <c r="F60" i="17"/>
  <c r="J60" i="17"/>
  <c r="T60" i="17"/>
  <c r="F61" i="17"/>
  <c r="J61" i="17"/>
  <c r="O61" i="17"/>
  <c r="S61" i="17"/>
  <c r="W61" i="17"/>
  <c r="F25" i="17"/>
  <c r="J25" i="17"/>
  <c r="O25" i="17"/>
  <c r="S25" i="17"/>
  <c r="W25" i="17"/>
  <c r="F31" i="17"/>
  <c r="J31" i="17"/>
  <c r="P31" i="17"/>
  <c r="T31" i="17"/>
  <c r="I35" i="17"/>
  <c r="O35" i="17"/>
  <c r="S35" i="17"/>
  <c r="W35" i="17"/>
  <c r="I41" i="17"/>
  <c r="N41" i="17"/>
  <c r="R41" i="17"/>
  <c r="V41" i="17"/>
  <c r="H42" i="17"/>
  <c r="M42" i="17"/>
  <c r="Q42" i="17"/>
  <c r="U42" i="17"/>
  <c r="H46" i="17"/>
  <c r="M46" i="17"/>
  <c r="Q46" i="17"/>
  <c r="U46" i="17"/>
  <c r="I47" i="17"/>
  <c r="N47" i="17"/>
  <c r="R47" i="17"/>
  <c r="V47" i="17"/>
  <c r="O53" i="17"/>
  <c r="S53" i="17"/>
  <c r="W53" i="17"/>
  <c r="I54" i="17"/>
  <c r="N54" i="17"/>
  <c r="R54" i="17"/>
  <c r="V54" i="17"/>
  <c r="F55" i="17"/>
  <c r="J55" i="17"/>
  <c r="P55" i="17"/>
  <c r="T55" i="17"/>
  <c r="G56" i="17"/>
  <c r="L56" i="17"/>
  <c r="P56" i="17"/>
  <c r="T56" i="17"/>
  <c r="S58" i="17"/>
  <c r="W58" i="17"/>
  <c r="G59" i="17"/>
  <c r="L59" i="17"/>
  <c r="P59" i="17"/>
  <c r="T59" i="17"/>
  <c r="G60" i="17"/>
  <c r="L60" i="17"/>
  <c r="P60" i="17"/>
  <c r="U60" i="17"/>
  <c r="G61" i="17"/>
  <c r="L61" i="17"/>
  <c r="P61" i="17"/>
  <c r="T61" i="17"/>
  <c r="G25" i="17"/>
  <c r="L25" i="17"/>
  <c r="P25" i="17"/>
  <c r="T25" i="17"/>
  <c r="G31" i="17"/>
  <c r="L31" i="17"/>
  <c r="Q31" i="17"/>
  <c r="U31" i="17"/>
  <c r="M31" i="17"/>
  <c r="F35" i="17"/>
  <c r="L35" i="17"/>
  <c r="P35" i="17"/>
  <c r="T35" i="17"/>
  <c r="F41" i="17"/>
  <c r="J41" i="17"/>
  <c r="O41" i="17"/>
  <c r="S41" i="17"/>
  <c r="W41" i="17"/>
  <c r="I42" i="17"/>
  <c r="N42" i="17"/>
  <c r="R42" i="17"/>
  <c r="V42" i="17"/>
  <c r="I46" i="17"/>
  <c r="N46" i="17"/>
  <c r="R46" i="17"/>
  <c r="V46" i="17"/>
  <c r="F47" i="17"/>
  <c r="J47" i="17"/>
  <c r="O47" i="17"/>
  <c r="S47" i="17"/>
  <c r="W47" i="17"/>
  <c r="L53" i="17"/>
  <c r="P53" i="17"/>
  <c r="T53" i="17"/>
  <c r="F54" i="17"/>
  <c r="J54" i="17"/>
  <c r="O54" i="17"/>
  <c r="S54" i="17"/>
  <c r="W54" i="17"/>
  <c r="G55" i="17"/>
  <c r="M55" i="17"/>
  <c r="Q55" i="17"/>
  <c r="U55" i="17"/>
  <c r="H56" i="17"/>
  <c r="M56" i="17"/>
  <c r="Q56" i="17"/>
  <c r="U56" i="17"/>
  <c r="H59" i="17"/>
  <c r="M59" i="17"/>
  <c r="Q59" i="17"/>
  <c r="U59" i="17"/>
  <c r="H60" i="17"/>
  <c r="M60" i="17"/>
  <c r="R60" i="17"/>
  <c r="V60" i="17"/>
  <c r="H61" i="17"/>
  <c r="M61" i="17"/>
  <c r="Q61" i="17"/>
  <c r="U61" i="17"/>
  <c r="H25" i="17"/>
  <c r="M25" i="17"/>
  <c r="Q25" i="17"/>
  <c r="U25" i="17"/>
  <c r="H31" i="17"/>
  <c r="N31" i="17"/>
  <c r="R31" i="17"/>
  <c r="V31" i="17"/>
  <c r="G35" i="17"/>
  <c r="M35" i="17"/>
  <c r="Q35" i="17"/>
  <c r="U35" i="17"/>
  <c r="G41" i="17"/>
  <c r="L41" i="17"/>
  <c r="P41" i="17"/>
  <c r="T41" i="17"/>
  <c r="F42" i="17"/>
  <c r="J42" i="17"/>
  <c r="O42" i="17"/>
  <c r="S42" i="17"/>
  <c r="W42" i="17"/>
  <c r="F46" i="17"/>
  <c r="J46" i="17"/>
  <c r="O46" i="17"/>
  <c r="S46" i="17"/>
  <c r="W46" i="17"/>
  <c r="G47" i="17"/>
  <c r="L47" i="17"/>
  <c r="P47" i="17"/>
  <c r="T47" i="17"/>
  <c r="M53" i="17"/>
  <c r="Q53" i="17"/>
  <c r="U53" i="17"/>
  <c r="G54" i="17"/>
  <c r="L54" i="17"/>
  <c r="P54" i="17"/>
  <c r="T54" i="17"/>
  <c r="H55" i="17"/>
  <c r="N55" i="17"/>
  <c r="R55" i="17"/>
  <c r="W55" i="17"/>
  <c r="L55" i="17"/>
  <c r="I56" i="17"/>
  <c r="N56" i="17"/>
  <c r="R56" i="17"/>
  <c r="V56" i="17"/>
  <c r="H58" i="17"/>
  <c r="M58" i="17"/>
  <c r="Q58" i="17"/>
  <c r="U58" i="17"/>
  <c r="I59" i="17"/>
  <c r="N59" i="17"/>
  <c r="R59" i="17"/>
  <c r="V59" i="17"/>
  <c r="I60" i="17"/>
  <c r="N60" i="17"/>
  <c r="S60" i="17"/>
  <c r="W60" i="17"/>
  <c r="I61" i="17"/>
  <c r="N61" i="17"/>
  <c r="R61" i="17"/>
  <c r="V61" i="17"/>
  <c r="G51" i="17"/>
  <c r="L51" i="17"/>
  <c r="Q51" i="17"/>
  <c r="H51" i="17"/>
  <c r="M51" i="17"/>
  <c r="S51" i="17"/>
  <c r="U51" i="17"/>
  <c r="I51" i="17"/>
  <c r="N51" i="17"/>
  <c r="T51" i="17"/>
  <c r="O51" i="17"/>
  <c r="F51" i="17"/>
  <c r="J51" i="17"/>
  <c r="P51" i="17"/>
  <c r="W51" i="17"/>
  <c r="I50" i="17"/>
  <c r="N50" i="17"/>
  <c r="S50" i="17"/>
  <c r="F50" i="17"/>
  <c r="J50" i="17"/>
  <c r="P50" i="17"/>
  <c r="T50" i="17"/>
  <c r="G50" i="17"/>
  <c r="L50" i="17"/>
  <c r="Q50" i="17"/>
  <c r="U50" i="17"/>
  <c r="H50" i="17"/>
  <c r="M50" i="17"/>
  <c r="R50" i="17"/>
  <c r="W50" i="17"/>
  <c r="H49" i="17"/>
  <c r="M49" i="17"/>
  <c r="Q49" i="17"/>
  <c r="U49" i="17"/>
  <c r="I49" i="17"/>
  <c r="N49" i="17"/>
  <c r="R49" i="17"/>
  <c r="V49" i="17"/>
  <c r="F49" i="17"/>
  <c r="J49" i="17"/>
  <c r="O49" i="17"/>
  <c r="S49" i="17"/>
  <c r="W49" i="17"/>
  <c r="G49" i="17"/>
  <c r="L49" i="17"/>
  <c r="P49" i="17"/>
  <c r="T49" i="17"/>
  <c r="H48" i="17"/>
  <c r="M48" i="17"/>
  <c r="Q48" i="17"/>
  <c r="W48" i="17"/>
  <c r="U48" i="17"/>
  <c r="I48" i="17"/>
  <c r="N48" i="17"/>
  <c r="R48" i="17"/>
  <c r="F48" i="17"/>
  <c r="J48" i="17"/>
  <c r="O48" i="17"/>
  <c r="S48" i="17"/>
  <c r="G48" i="17"/>
  <c r="L48" i="17"/>
  <c r="P48" i="17"/>
  <c r="T48" i="17"/>
  <c r="G45" i="17"/>
  <c r="L45" i="17"/>
  <c r="P45" i="17"/>
  <c r="T45" i="17"/>
  <c r="H45" i="17"/>
  <c r="M45" i="17"/>
  <c r="Q45" i="17"/>
  <c r="U45" i="17"/>
  <c r="I45" i="17"/>
  <c r="N45" i="17"/>
  <c r="R45" i="17"/>
  <c r="V45" i="17"/>
  <c r="F45" i="17"/>
  <c r="J45" i="17"/>
  <c r="O45" i="17"/>
  <c r="S45" i="17"/>
  <c r="W45" i="17"/>
  <c r="H44" i="17"/>
  <c r="M44" i="17"/>
  <c r="Q44" i="17"/>
  <c r="V44" i="17"/>
  <c r="I44" i="17"/>
  <c r="N44" i="17"/>
  <c r="R44" i="17"/>
  <c r="W44" i="17"/>
  <c r="F44" i="17"/>
  <c r="J44" i="17"/>
  <c r="O44" i="17"/>
  <c r="T44" i="17"/>
  <c r="G44" i="17"/>
  <c r="L44" i="17"/>
  <c r="P44" i="17"/>
  <c r="U44" i="17"/>
  <c r="J43" i="17"/>
  <c r="O43" i="17"/>
  <c r="S43" i="17"/>
  <c r="W43" i="17"/>
  <c r="G43" i="17"/>
  <c r="L43" i="17"/>
  <c r="P43" i="17"/>
  <c r="T43" i="17"/>
  <c r="H43" i="17"/>
  <c r="M43" i="17"/>
  <c r="Q43" i="17"/>
  <c r="U43" i="17"/>
  <c r="I43" i="17"/>
  <c r="N43" i="17"/>
  <c r="R43" i="17"/>
  <c r="V43" i="17"/>
  <c r="F39" i="17"/>
  <c r="J39" i="17"/>
  <c r="O39" i="17"/>
  <c r="S39" i="17"/>
  <c r="W39" i="17"/>
  <c r="G39" i="17"/>
  <c r="L39" i="17"/>
  <c r="P39" i="17"/>
  <c r="T39" i="17"/>
  <c r="H39" i="17"/>
  <c r="M39" i="17"/>
  <c r="Q39" i="17"/>
  <c r="U39" i="17"/>
  <c r="I39" i="17"/>
  <c r="N39" i="17"/>
  <c r="R39" i="17"/>
  <c r="V39" i="17"/>
  <c r="G38" i="17"/>
  <c r="L38" i="17"/>
  <c r="P38" i="17"/>
  <c r="T38" i="17"/>
  <c r="H38" i="17"/>
  <c r="M38" i="17"/>
  <c r="Q38" i="17"/>
  <c r="U38" i="17"/>
  <c r="N38" i="17"/>
  <c r="R38" i="17"/>
  <c r="V38" i="17"/>
  <c r="F38" i="17"/>
  <c r="J38" i="17"/>
  <c r="O38" i="17"/>
  <c r="S38" i="17"/>
  <c r="W38" i="17"/>
  <c r="I36" i="17"/>
  <c r="N36" i="17"/>
  <c r="R36" i="17"/>
  <c r="V36" i="17"/>
  <c r="F36" i="17"/>
  <c r="J36" i="17"/>
  <c r="O36" i="17"/>
  <c r="S36" i="17"/>
  <c r="W36" i="17"/>
  <c r="G36" i="17"/>
  <c r="L36" i="17"/>
  <c r="P36" i="17"/>
  <c r="T36" i="17"/>
  <c r="H36" i="17"/>
  <c r="M36" i="17"/>
  <c r="Q36" i="17"/>
  <c r="U36" i="17"/>
  <c r="R34" i="17"/>
  <c r="V34" i="17"/>
  <c r="O34" i="17"/>
  <c r="S34" i="17"/>
  <c r="W34" i="17"/>
  <c r="L34" i="17"/>
  <c r="P34" i="17"/>
  <c r="T34" i="17"/>
  <c r="M34" i="17"/>
  <c r="Q34" i="17"/>
  <c r="U34" i="17"/>
  <c r="I33" i="17"/>
  <c r="N33" i="17"/>
  <c r="R33" i="17"/>
  <c r="V33" i="17"/>
  <c r="J33" i="17"/>
  <c r="O33" i="17"/>
  <c r="S33" i="17"/>
  <c r="W33" i="17"/>
  <c r="G33" i="17"/>
  <c r="L33" i="17"/>
  <c r="P33" i="17"/>
  <c r="T33" i="17"/>
  <c r="H33" i="17"/>
  <c r="M33" i="17"/>
  <c r="Q33" i="17"/>
  <c r="U33" i="17"/>
  <c r="G32" i="17"/>
  <c r="L32" i="17"/>
  <c r="P32" i="17"/>
  <c r="T32" i="17"/>
  <c r="H32" i="17"/>
  <c r="M32" i="17"/>
  <c r="Q32" i="17"/>
  <c r="U32" i="17"/>
  <c r="I32" i="17"/>
  <c r="N32" i="17"/>
  <c r="R32" i="17"/>
  <c r="W32" i="17"/>
  <c r="F32" i="17"/>
  <c r="J32" i="17"/>
  <c r="E32" i="17" s="1"/>
  <c r="O32" i="17"/>
  <c r="S32" i="17"/>
  <c r="V32" i="17"/>
  <c r="I30" i="17"/>
  <c r="N30" i="17"/>
  <c r="R30" i="17"/>
  <c r="V30" i="17"/>
  <c r="F30" i="17"/>
  <c r="J30" i="17"/>
  <c r="O30" i="17"/>
  <c r="S30" i="17"/>
  <c r="W30" i="17"/>
  <c r="G30" i="17"/>
  <c r="L30" i="17"/>
  <c r="P30" i="17"/>
  <c r="T30" i="17"/>
  <c r="H30" i="17"/>
  <c r="M30" i="17"/>
  <c r="Q30" i="17"/>
  <c r="U30" i="17"/>
  <c r="F29" i="17"/>
  <c r="J29" i="17"/>
  <c r="S29" i="17"/>
  <c r="N29" i="17"/>
  <c r="G29" i="17"/>
  <c r="M29" i="17"/>
  <c r="U29" i="17"/>
  <c r="P29" i="17"/>
  <c r="H29" i="17"/>
  <c r="O29" i="17"/>
  <c r="V29" i="17"/>
  <c r="Q29" i="17"/>
  <c r="I29" i="17"/>
  <c r="R29" i="17"/>
  <c r="W29" i="17"/>
  <c r="T29" i="17"/>
  <c r="I28" i="17"/>
  <c r="N28" i="17"/>
  <c r="R28" i="17"/>
  <c r="V28" i="17"/>
  <c r="F28" i="17"/>
  <c r="J28" i="17"/>
  <c r="O28" i="17"/>
  <c r="S28" i="17"/>
  <c r="W28" i="17"/>
  <c r="G28" i="17"/>
  <c r="L28" i="17"/>
  <c r="P28" i="17"/>
  <c r="T28" i="17"/>
  <c r="M28" i="17"/>
  <c r="Q28" i="17"/>
  <c r="U28" i="17"/>
  <c r="H26" i="17"/>
  <c r="M26" i="17"/>
  <c r="Q26" i="17"/>
  <c r="U26" i="17"/>
  <c r="I26" i="17"/>
  <c r="N26" i="17"/>
  <c r="R26" i="17"/>
  <c r="V26" i="17"/>
  <c r="F26" i="17"/>
  <c r="J26" i="17"/>
  <c r="O26" i="17"/>
  <c r="S26" i="17"/>
  <c r="W26" i="17"/>
  <c r="G26" i="17"/>
  <c r="L26" i="17"/>
  <c r="P26" i="17"/>
  <c r="T26" i="17"/>
  <c r="G24" i="17"/>
  <c r="L24" i="17"/>
  <c r="P24" i="17"/>
  <c r="T24" i="17"/>
  <c r="H24" i="17"/>
  <c r="M24" i="17"/>
  <c r="Q24" i="17"/>
  <c r="U24" i="17"/>
  <c r="I24" i="17"/>
  <c r="N24" i="17"/>
  <c r="R24" i="17"/>
  <c r="V24" i="17"/>
  <c r="F24" i="17"/>
  <c r="J24" i="17"/>
  <c r="O24" i="17"/>
  <c r="S24" i="17"/>
  <c r="W24" i="17"/>
  <c r="H23" i="17"/>
  <c r="M23" i="17"/>
  <c r="Q23" i="17"/>
  <c r="U23" i="17"/>
  <c r="I23" i="17"/>
  <c r="N23" i="17"/>
  <c r="R23" i="17"/>
  <c r="V23" i="17"/>
  <c r="O23" i="17"/>
  <c r="S23" i="17"/>
  <c r="W23" i="17"/>
  <c r="L23" i="17"/>
  <c r="P23" i="17"/>
  <c r="T23" i="17"/>
  <c r="G21" i="17"/>
  <c r="L21" i="17"/>
  <c r="P21" i="17"/>
  <c r="T21" i="17"/>
  <c r="H21" i="17"/>
  <c r="M21" i="17"/>
  <c r="Q21" i="17"/>
  <c r="U21" i="17"/>
  <c r="I21" i="17"/>
  <c r="N21" i="17"/>
  <c r="R21" i="17"/>
  <c r="V21" i="17"/>
  <c r="F21" i="17"/>
  <c r="J21" i="17"/>
  <c r="O21" i="17"/>
  <c r="S21" i="17"/>
  <c r="W21" i="17"/>
  <c r="M20" i="17"/>
  <c r="J20" i="17"/>
  <c r="O20" i="17"/>
  <c r="S20" i="17"/>
  <c r="W20" i="17"/>
  <c r="U20" i="17"/>
  <c r="G20" i="17"/>
  <c r="L20" i="17"/>
  <c r="P20" i="17"/>
  <c r="T20" i="17"/>
  <c r="H20" i="17"/>
  <c r="Q20" i="17"/>
  <c r="I20" i="17"/>
  <c r="N20" i="17"/>
  <c r="R20" i="17"/>
  <c r="V20" i="17"/>
  <c r="J19" i="17"/>
  <c r="G19" i="17"/>
  <c r="H19" i="17"/>
  <c r="I18" i="17"/>
  <c r="N18" i="17"/>
  <c r="R18" i="17"/>
  <c r="V18" i="17"/>
  <c r="J18" i="17"/>
  <c r="O18" i="17"/>
  <c r="S18" i="17"/>
  <c r="W18" i="17"/>
  <c r="L18" i="17"/>
  <c r="P18" i="17"/>
  <c r="T18" i="17"/>
  <c r="M18" i="17"/>
  <c r="Q18" i="17"/>
  <c r="U18" i="17"/>
  <c r="I9" i="15"/>
  <c r="G18" i="17"/>
  <c r="H51" i="15"/>
  <c r="F22" i="21" s="1"/>
  <c r="F23" i="17"/>
  <c r="L51" i="15"/>
  <c r="J22" i="21" s="1"/>
  <c r="J23" i="17"/>
  <c r="I513" i="15"/>
  <c r="G57" i="21" s="1"/>
  <c r="G58" i="17"/>
  <c r="N513" i="15"/>
  <c r="L57" i="21" s="1"/>
  <c r="L58" i="17"/>
  <c r="R513" i="15"/>
  <c r="P57" i="21" s="1"/>
  <c r="P58" i="17"/>
  <c r="V513" i="15"/>
  <c r="T57" i="21" s="1"/>
  <c r="T58" i="17"/>
  <c r="I51" i="15"/>
  <c r="G22" i="21" s="1"/>
  <c r="G23" i="17"/>
  <c r="J148" i="15"/>
  <c r="H27" i="21" s="1"/>
  <c r="H28" i="17"/>
  <c r="K353" i="15"/>
  <c r="I37" i="21" s="1"/>
  <c r="I38" i="17"/>
  <c r="J9" i="15"/>
  <c r="H18" i="17"/>
  <c r="H9" i="15"/>
  <c r="F20" i="17"/>
  <c r="M303" i="15"/>
  <c r="H513" i="15"/>
  <c r="F57" i="21" s="1"/>
  <c r="F58" i="17"/>
  <c r="L513" i="15"/>
  <c r="J57" i="21" s="1"/>
  <c r="J58" i="17"/>
  <c r="O58" i="17"/>
  <c r="K513" i="15"/>
  <c r="I57" i="21" s="1"/>
  <c r="P513" i="15"/>
  <c r="N57" i="21" s="1"/>
  <c r="T513" i="15"/>
  <c r="R57" i="21" s="1"/>
  <c r="X513" i="15"/>
  <c r="V57" i="21" s="1"/>
  <c r="U513" i="15"/>
  <c r="S57" i="21" s="1"/>
  <c r="Y513" i="15"/>
  <c r="W57" i="21" s="1"/>
  <c r="J513" i="15"/>
  <c r="H57" i="21" s="1"/>
  <c r="O513" i="15"/>
  <c r="M57" i="21" s="1"/>
  <c r="W513" i="15"/>
  <c r="U57" i="21" s="1"/>
  <c r="M264" i="15"/>
  <c r="F264" i="15" s="1"/>
  <c r="I148" i="15"/>
  <c r="G27" i="21" s="1"/>
  <c r="L9" i="15"/>
  <c r="J17" i="21" s="1"/>
  <c r="K51" i="15"/>
  <c r="I22" i="21" s="1"/>
  <c r="H148" i="15"/>
  <c r="F27" i="21" s="1"/>
  <c r="L148" i="15"/>
  <c r="J27" i="21" s="1"/>
  <c r="Q148" i="15"/>
  <c r="O27" i="21" s="1"/>
  <c r="H353" i="15"/>
  <c r="F37" i="21" s="1"/>
  <c r="L353" i="15"/>
  <c r="J37" i="21" s="1"/>
  <c r="J379" i="15"/>
  <c r="H40" i="21" s="1"/>
  <c r="O379" i="15"/>
  <c r="M40" i="21" s="1"/>
  <c r="S379" i="15"/>
  <c r="Q40" i="21" s="1"/>
  <c r="W379" i="15"/>
  <c r="U40" i="21" s="1"/>
  <c r="I487" i="15"/>
  <c r="G52" i="21" s="1"/>
  <c r="J487" i="15"/>
  <c r="H52" i="21" s="1"/>
  <c r="K9" i="15"/>
  <c r="J51" i="15"/>
  <c r="H22" i="21" s="1"/>
  <c r="K148" i="15"/>
  <c r="I27" i="21" s="1"/>
  <c r="J353" i="15"/>
  <c r="L379" i="15"/>
  <c r="J40" i="21" s="1"/>
  <c r="Q379" i="15"/>
  <c r="O40" i="21" s="1"/>
  <c r="U379" i="15"/>
  <c r="S40" i="21" s="1"/>
  <c r="L487" i="15"/>
  <c r="J52" i="21" s="1"/>
  <c r="I379" i="15"/>
  <c r="G40" i="21" s="1"/>
  <c r="I353" i="15"/>
  <c r="G37" i="21" s="1"/>
  <c r="K379" i="15"/>
  <c r="I40" i="21" s="1"/>
  <c r="K487" i="15"/>
  <c r="I52" i="21" s="1"/>
  <c r="F168" i="15"/>
  <c r="Y379" i="15"/>
  <c r="W40" i="21" s="1"/>
  <c r="N379" i="15"/>
  <c r="L40" i="21" s="1"/>
  <c r="R379" i="15"/>
  <c r="P40" i="21" s="1"/>
  <c r="V379" i="15"/>
  <c r="T40" i="21" s="1"/>
  <c r="P379" i="15"/>
  <c r="N40" i="21" s="1"/>
  <c r="T379" i="15"/>
  <c r="R40" i="21" s="1"/>
  <c r="X379" i="15"/>
  <c r="V40" i="21" s="1"/>
  <c r="F278" i="15"/>
  <c r="F530" i="15"/>
  <c r="U148" i="15"/>
  <c r="S27" i="21" s="1"/>
  <c r="L313" i="15"/>
  <c r="J35" i="21" s="1"/>
  <c r="E35" i="21" s="1"/>
  <c r="M466" i="15"/>
  <c r="F466" i="15" s="1"/>
  <c r="X476" i="15"/>
  <c r="V51" i="21" s="1"/>
  <c r="M509" i="15"/>
  <c r="X51" i="15"/>
  <c r="V22" i="21" s="1"/>
  <c r="U405" i="15"/>
  <c r="X446" i="15"/>
  <c r="Q465" i="15"/>
  <c r="O50" i="21" s="1"/>
  <c r="M480" i="15"/>
  <c r="F480" i="15" s="1"/>
  <c r="H488" i="15"/>
  <c r="S522" i="15"/>
  <c r="X465" i="15"/>
  <c r="V50" i="21" s="1"/>
  <c r="M481" i="15"/>
  <c r="F481" i="15" s="1"/>
  <c r="W9" i="15"/>
  <c r="F70" i="15"/>
  <c r="U487" i="15"/>
  <c r="S52" i="21" s="1"/>
  <c r="Y9" i="15"/>
  <c r="F132" i="15"/>
  <c r="T9" i="15"/>
  <c r="F138" i="15"/>
  <c r="S51" i="15"/>
  <c r="Q22" i="21" s="1"/>
  <c r="Q353" i="15"/>
  <c r="O37" i="21" s="1"/>
  <c r="F515" i="15"/>
  <c r="F270" i="15"/>
  <c r="X353" i="15"/>
  <c r="V37" i="21" s="1"/>
  <c r="U51" i="15"/>
  <c r="S22" i="21" s="1"/>
  <c r="Y51" i="15"/>
  <c r="W22" i="21" s="1"/>
  <c r="P51" i="15"/>
  <c r="N22" i="21" s="1"/>
  <c r="T51" i="15"/>
  <c r="R22" i="21" s="1"/>
  <c r="F140" i="15"/>
  <c r="F142" i="15"/>
  <c r="P9" i="15"/>
  <c r="X9" i="15"/>
  <c r="F15" i="15"/>
  <c r="F21" i="15"/>
  <c r="O9" i="15"/>
  <c r="S9" i="15"/>
  <c r="Q9" i="15"/>
  <c r="U9" i="15"/>
  <c r="O51" i="15"/>
  <c r="M22" i="21" s="1"/>
  <c r="W51" i="15"/>
  <c r="U22" i="21" s="1"/>
  <c r="Q51" i="15"/>
  <c r="O22" i="21" s="1"/>
  <c r="R353" i="15"/>
  <c r="P37" i="21" s="1"/>
  <c r="F36" i="15"/>
  <c r="M10" i="15"/>
  <c r="K18" i="21" s="1"/>
  <c r="R9" i="15"/>
  <c r="V9" i="15"/>
  <c r="F16" i="15"/>
  <c r="G22" i="15"/>
  <c r="F55" i="15"/>
  <c r="F282" i="15"/>
  <c r="F288" i="15"/>
  <c r="F290" i="15"/>
  <c r="F399" i="15"/>
  <c r="F443" i="15"/>
  <c r="F445" i="15"/>
  <c r="X487" i="15"/>
  <c r="V52" i="21" s="1"/>
  <c r="R51" i="15"/>
  <c r="P22" i="21" s="1"/>
  <c r="V51" i="15"/>
  <c r="T22" i="21" s="1"/>
  <c r="P148" i="15"/>
  <c r="N27" i="21" s="1"/>
  <c r="X148" i="15"/>
  <c r="V27" i="21" s="1"/>
  <c r="F274" i="15"/>
  <c r="F276" i="15"/>
  <c r="M293" i="15"/>
  <c r="M287" i="15" s="1"/>
  <c r="F25" i="15"/>
  <c r="F114" i="15"/>
  <c r="Y148" i="15"/>
  <c r="W27" i="21" s="1"/>
  <c r="F400" i="15"/>
  <c r="F409" i="15"/>
  <c r="F411" i="15"/>
  <c r="F439" i="15"/>
  <c r="F40" i="15"/>
  <c r="M34" i="15"/>
  <c r="K20" i="21" s="1"/>
  <c r="F41" i="15"/>
  <c r="F43" i="15"/>
  <c r="R148" i="15"/>
  <c r="P27" i="21" s="1"/>
  <c r="O353" i="15"/>
  <c r="M37" i="21" s="1"/>
  <c r="S353" i="15"/>
  <c r="Q37" i="21" s="1"/>
  <c r="W353" i="15"/>
  <c r="U37" i="21" s="1"/>
  <c r="F89" i="15"/>
  <c r="F250" i="15"/>
  <c r="F262" i="15"/>
  <c r="F294" i="15"/>
  <c r="F306" i="15"/>
  <c r="F326" i="15"/>
  <c r="F406" i="15"/>
  <c r="P487" i="15"/>
  <c r="N52" i="21" s="1"/>
  <c r="T487" i="15"/>
  <c r="R52" i="21" s="1"/>
  <c r="M52" i="15"/>
  <c r="K23" i="21" s="1"/>
  <c r="F56" i="15"/>
  <c r="F64" i="15"/>
  <c r="F71" i="15"/>
  <c r="F75" i="15"/>
  <c r="T148" i="15"/>
  <c r="R27" i="21" s="1"/>
  <c r="F152" i="15"/>
  <c r="F322" i="15"/>
  <c r="F517" i="15"/>
  <c r="F340" i="15"/>
  <c r="F344" i="15"/>
  <c r="F346" i="15"/>
  <c r="P353" i="15"/>
  <c r="N37" i="21" s="1"/>
  <c r="T353" i="15"/>
  <c r="R37" i="21" s="1"/>
  <c r="F491" i="15"/>
  <c r="R487" i="15"/>
  <c r="P52" i="21" s="1"/>
  <c r="F327" i="15"/>
  <c r="F331" i="15"/>
  <c r="F335" i="15"/>
  <c r="F447" i="15"/>
  <c r="F471" i="15"/>
  <c r="F499" i="15"/>
  <c r="F520" i="15"/>
  <c r="F527" i="15"/>
  <c r="F91" i="15"/>
  <c r="F93" i="15"/>
  <c r="F127" i="15"/>
  <c r="F177" i="15"/>
  <c r="F197" i="15"/>
  <c r="F199" i="15"/>
  <c r="F201" i="15"/>
  <c r="F219" i="15"/>
  <c r="F243" i="15"/>
  <c r="G442" i="15"/>
  <c r="F512" i="15"/>
  <c r="M325" i="15"/>
  <c r="K36" i="21" s="1"/>
  <c r="F390" i="15"/>
  <c r="F393" i="15"/>
  <c r="G405" i="15"/>
  <c r="M117" i="15"/>
  <c r="K26" i="21" s="1"/>
  <c r="F170" i="15"/>
  <c r="F187" i="15"/>
  <c r="F220" i="15"/>
  <c r="F269" i="15"/>
  <c r="G354" i="15"/>
  <c r="U353" i="15"/>
  <c r="S37" i="21" s="1"/>
  <c r="Y353" i="15"/>
  <c r="W37" i="21" s="1"/>
  <c r="F461" i="15"/>
  <c r="F521" i="15"/>
  <c r="F95" i="15"/>
  <c r="F147" i="15"/>
  <c r="F252" i="15"/>
  <c r="F265" i="15"/>
  <c r="F529" i="15"/>
  <c r="F104" i="15"/>
  <c r="F151" i="15"/>
  <c r="F153" i="15"/>
  <c r="F161" i="15"/>
  <c r="G232" i="15"/>
  <c r="N353" i="15"/>
  <c r="L37" i="21" s="1"/>
  <c r="V353" i="15"/>
  <c r="T37" i="21" s="1"/>
  <c r="F374" i="15"/>
  <c r="F378" i="15"/>
  <c r="F422" i="15"/>
  <c r="F449" i="15"/>
  <c r="F493" i="15"/>
  <c r="F59" i="15"/>
  <c r="F106" i="15"/>
  <c r="F112" i="15"/>
  <c r="G117" i="15"/>
  <c r="F146" i="15"/>
  <c r="F188" i="15"/>
  <c r="F235" i="15"/>
  <c r="F247" i="15"/>
  <c r="F249" i="15"/>
  <c r="F251" i="15"/>
  <c r="F257" i="15"/>
  <c r="F301" i="15"/>
  <c r="F303" i="15"/>
  <c r="F305" i="15"/>
  <c r="F311" i="15"/>
  <c r="F315" i="15"/>
  <c r="F318" i="15"/>
  <c r="F320" i="15"/>
  <c r="G428" i="15"/>
  <c r="F485" i="15"/>
  <c r="F492" i="15"/>
  <c r="F497" i="15"/>
  <c r="F502" i="15"/>
  <c r="F13" i="15"/>
  <c r="M96" i="15"/>
  <c r="K25" i="21" s="1"/>
  <c r="F357" i="15"/>
  <c r="F362" i="15"/>
  <c r="F365" i="15"/>
  <c r="F367" i="15"/>
  <c r="F372" i="15"/>
  <c r="F386" i="15"/>
  <c r="M395" i="15"/>
  <c r="K43" i="21" s="1"/>
  <c r="F408" i="15"/>
  <c r="F435" i="15"/>
  <c r="F437" i="15"/>
  <c r="F441" i="15"/>
  <c r="F462" i="15"/>
  <c r="M22" i="15"/>
  <c r="F29" i="15"/>
  <c r="F33" i="15"/>
  <c r="G77" i="15"/>
  <c r="F105" i="15"/>
  <c r="F108" i="15"/>
  <c r="F110" i="15"/>
  <c r="F123" i="15"/>
  <c r="F130" i="15"/>
  <c r="G162" i="15"/>
  <c r="M171" i="15"/>
  <c r="F171" i="15" s="1"/>
  <c r="F175" i="15"/>
  <c r="F179" i="15"/>
  <c r="F181" i="15"/>
  <c r="F206" i="15"/>
  <c r="M232" i="15"/>
  <c r="K33" i="21" s="1"/>
  <c r="G313" i="15"/>
  <c r="F314" i="15"/>
  <c r="F329" i="15"/>
  <c r="F333" i="15"/>
  <c r="F337" i="15"/>
  <c r="F348" i="15"/>
  <c r="F350" i="15"/>
  <c r="F381" i="15"/>
  <c r="M440" i="15"/>
  <c r="K46" i="21" s="1"/>
  <c r="G458" i="15"/>
  <c r="G488" i="15"/>
  <c r="Q487" i="15"/>
  <c r="O52" i="21" s="1"/>
  <c r="Y487" i="15"/>
  <c r="W52" i="21" s="1"/>
  <c r="G504" i="15"/>
  <c r="F509" i="15"/>
  <c r="F38" i="15"/>
  <c r="F42" i="15"/>
  <c r="G46" i="15"/>
  <c r="N51" i="15"/>
  <c r="L22" i="21" s="1"/>
  <c r="G52" i="15"/>
  <c r="F78" i="15"/>
  <c r="F122" i="15"/>
  <c r="M149" i="15"/>
  <c r="K28" i="21" s="1"/>
  <c r="G185" i="15"/>
  <c r="M185" i="15"/>
  <c r="K30" i="21" s="1"/>
  <c r="G212" i="15"/>
  <c r="M212" i="15"/>
  <c r="K32" i="21" s="1"/>
  <c r="F221" i="15"/>
  <c r="F275" i="15"/>
  <c r="F281" i="15"/>
  <c r="F289" i="15"/>
  <c r="F291" i="15"/>
  <c r="F296" i="15"/>
  <c r="F298" i="15"/>
  <c r="F300" i="15"/>
  <c r="F302" i="15"/>
  <c r="F310" i="15"/>
  <c r="F312" i="15"/>
  <c r="F316" i="15"/>
  <c r="F328" i="15"/>
  <c r="F332" i="15"/>
  <c r="F334" i="15"/>
  <c r="F377" i="15"/>
  <c r="F383" i="15"/>
  <c r="F396" i="15"/>
  <c r="F398" i="15"/>
  <c r="F415" i="15"/>
  <c r="F457" i="15"/>
  <c r="F463" i="15"/>
  <c r="F467" i="15"/>
  <c r="F473" i="15"/>
  <c r="F478" i="15"/>
  <c r="G510" i="15"/>
  <c r="M510" i="15"/>
  <c r="K56" i="21" s="1"/>
  <c r="V487" i="15"/>
  <c r="T52" i="21" s="1"/>
  <c r="F511" i="15"/>
  <c r="F519" i="15"/>
  <c r="F526" i="15"/>
  <c r="N9" i="15"/>
  <c r="G10" i="15"/>
  <c r="F24" i="15"/>
  <c r="F28" i="15"/>
  <c r="F30" i="15"/>
  <c r="F32" i="15"/>
  <c r="G34" i="15"/>
  <c r="M46" i="15"/>
  <c r="K21" i="21" s="1"/>
  <c r="F47" i="15"/>
  <c r="F50" i="15"/>
  <c r="F76" i="15"/>
  <c r="M77" i="15"/>
  <c r="K24" i="21" s="1"/>
  <c r="F92" i="15"/>
  <c r="F94" i="15"/>
  <c r="G96" i="15"/>
  <c r="F109" i="15"/>
  <c r="F113" i="15"/>
  <c r="F133" i="15"/>
  <c r="F137" i="15"/>
  <c r="F139" i="15"/>
  <c r="F141" i="15"/>
  <c r="F145" i="15"/>
  <c r="F164" i="15"/>
  <c r="F167" i="15"/>
  <c r="F182" i="15"/>
  <c r="F198" i="15"/>
  <c r="F200" i="15"/>
  <c r="F210" i="15"/>
  <c r="F217" i="15"/>
  <c r="F245" i="15"/>
  <c r="F323" i="15"/>
  <c r="G325" i="15"/>
  <c r="F341" i="15"/>
  <c r="F345" i="15"/>
  <c r="F349" i="15"/>
  <c r="G373" i="15"/>
  <c r="F387" i="15"/>
  <c r="F389" i="15"/>
  <c r="F414" i="15"/>
  <c r="F421" i="15"/>
  <c r="F430" i="15"/>
  <c r="F434" i="15"/>
  <c r="O487" i="15"/>
  <c r="M52" i="21" s="1"/>
  <c r="S487" i="15"/>
  <c r="Q52" i="21" s="1"/>
  <c r="W487" i="15"/>
  <c r="U52" i="21" s="1"/>
  <c r="F444" i="15"/>
  <c r="G476" i="15"/>
  <c r="F482" i="15"/>
  <c r="F503" i="15"/>
  <c r="M514" i="15"/>
  <c r="K58" i="21" s="1"/>
  <c r="M516" i="15"/>
  <c r="K59" i="21" s="1"/>
  <c r="F37" i="15"/>
  <c r="F119" i="15"/>
  <c r="G148" i="15"/>
  <c r="F174" i="15"/>
  <c r="F222" i="15"/>
  <c r="F266" i="15"/>
  <c r="F271" i="15"/>
  <c r="F336" i="15"/>
  <c r="F339" i="15"/>
  <c r="F342" i="15"/>
  <c r="F356" i="15"/>
  <c r="F364" i="15"/>
  <c r="F366" i="15"/>
  <c r="F368" i="15"/>
  <c r="F371" i="15"/>
  <c r="M385" i="15"/>
  <c r="K42" i="21" s="1"/>
  <c r="F392" i="15"/>
  <c r="F410" i="15"/>
  <c r="F417" i="15"/>
  <c r="F424" i="15"/>
  <c r="M428" i="15"/>
  <c r="G446" i="15"/>
  <c r="G465" i="15"/>
  <c r="F472" i="15"/>
  <c r="M488" i="15"/>
  <c r="K53" i="21" s="1"/>
  <c r="F490" i="15"/>
  <c r="F495" i="15"/>
  <c r="M504" i="15"/>
  <c r="K54" i="21" s="1"/>
  <c r="D54" i="21" s="1"/>
  <c r="F505" i="15"/>
  <c r="F518" i="15"/>
  <c r="G522" i="15"/>
  <c r="F523" i="15"/>
  <c r="G525" i="15"/>
  <c r="M525" i="15"/>
  <c r="K61" i="21" s="1"/>
  <c r="F18" i="15"/>
  <c r="F39" i="15"/>
  <c r="F44" i="15"/>
  <c r="F66" i="15"/>
  <c r="F143" i="15"/>
  <c r="F158" i="15"/>
  <c r="W148" i="15"/>
  <c r="U27" i="21" s="1"/>
  <c r="F169" i="15"/>
  <c r="F180" i="15"/>
  <c r="F195" i="15"/>
  <c r="F202" i="15"/>
  <c r="G204" i="15"/>
  <c r="F214" i="15"/>
  <c r="F237" i="15"/>
  <c r="F241" i="15"/>
  <c r="F279" i="15"/>
  <c r="F283" i="15"/>
  <c r="F293" i="15"/>
  <c r="F307" i="15"/>
  <c r="F309" i="15"/>
  <c r="M313" i="15"/>
  <c r="F324" i="15"/>
  <c r="M465" i="15"/>
  <c r="K50" i="21" s="1"/>
  <c r="F17" i="15"/>
  <c r="F67" i="15"/>
  <c r="F74" i="15"/>
  <c r="F101" i="15"/>
  <c r="F129" i="15"/>
  <c r="F131" i="15"/>
  <c r="O148" i="15"/>
  <c r="M27" i="21" s="1"/>
  <c r="S148" i="15"/>
  <c r="Q27" i="21" s="1"/>
  <c r="V148" i="15"/>
  <c r="T27" i="21" s="1"/>
  <c r="F189" i="15"/>
  <c r="M204" i="15"/>
  <c r="K31" i="21" s="1"/>
  <c r="D31" i="21" s="1"/>
  <c r="F223" i="15"/>
  <c r="F244" i="15"/>
  <c r="F246" i="15"/>
  <c r="F268" i="15"/>
  <c r="F295" i="15"/>
  <c r="F297" i="15"/>
  <c r="F304" i="15"/>
  <c r="F319" i="15"/>
  <c r="F321" i="15"/>
  <c r="F330" i="15"/>
  <c r="F347" i="15"/>
  <c r="M354" i="15"/>
  <c r="K38" i="21" s="1"/>
  <c r="G380" i="15"/>
  <c r="F388" i="15"/>
  <c r="F403" i="15"/>
  <c r="F416" i="15"/>
  <c r="F425" i="15"/>
  <c r="G440" i="15"/>
  <c r="F450" i="15"/>
  <c r="M458" i="15"/>
  <c r="K49" i="21" s="1"/>
  <c r="F464" i="15"/>
  <c r="F468" i="15"/>
  <c r="F483" i="15"/>
  <c r="F489" i="15"/>
  <c r="F494" i="15"/>
  <c r="F501" i="15"/>
  <c r="G506" i="15"/>
  <c r="F507" i="15"/>
  <c r="G516" i="15"/>
  <c r="F524" i="15"/>
  <c r="F528" i="15"/>
  <c r="F14" i="15"/>
  <c r="F31" i="15"/>
  <c r="G149" i="15"/>
  <c r="F149" i="15" s="1"/>
  <c r="F160" i="15"/>
  <c r="F191" i="15"/>
  <c r="F196" i="15"/>
  <c r="F203" i="15"/>
  <c r="F215" i="15"/>
  <c r="F226" i="15"/>
  <c r="F240" i="15"/>
  <c r="F248" i="15"/>
  <c r="F267" i="15"/>
  <c r="F272" i="15"/>
  <c r="F277" i="15"/>
  <c r="F284" i="15"/>
  <c r="F299" i="15"/>
  <c r="F308" i="15"/>
  <c r="M373" i="15"/>
  <c r="K39" i="21" s="1"/>
  <c r="M380" i="15"/>
  <c r="K41" i="21" s="1"/>
  <c r="F401" i="15"/>
  <c r="F404" i="15"/>
  <c r="F433" i="15"/>
  <c r="F438" i="15"/>
  <c r="M442" i="15"/>
  <c r="G514" i="15"/>
  <c r="N162" i="15"/>
  <c r="L29" i="21" s="1"/>
  <c r="M205" i="15"/>
  <c r="F205" i="15" s="1"/>
  <c r="N487" i="15"/>
  <c r="L52" i="21" s="1"/>
  <c r="M506" i="15"/>
  <c r="K55" i="21" s="1"/>
  <c r="M451" i="15"/>
  <c r="F451" i="15" s="1"/>
  <c r="T476" i="15"/>
  <c r="R51" i="21" s="1"/>
  <c r="M477" i="15"/>
  <c r="F477" i="15" s="1"/>
  <c r="M508" i="15"/>
  <c r="F508" i="15" s="1"/>
  <c r="C48" i="13"/>
  <c r="C43" i="13"/>
  <c r="C39" i="13"/>
  <c r="C20" i="13"/>
  <c r="D8" i="13"/>
  <c r="C14" i="13"/>
  <c r="C9" i="13"/>
  <c r="Z6" i="12"/>
  <c r="F6" i="12"/>
  <c r="K6" i="12"/>
  <c r="P6" i="12"/>
  <c r="T6" i="12"/>
  <c r="Y6" i="12"/>
  <c r="N17" i="12"/>
  <c r="N24" i="12"/>
  <c r="C24" i="12" s="1"/>
  <c r="N30" i="12"/>
  <c r="E6" i="12"/>
  <c r="Q6" i="12"/>
  <c r="C32" i="12"/>
  <c r="D41" i="12"/>
  <c r="N16" i="12"/>
  <c r="C17" i="12"/>
  <c r="C29" i="12"/>
  <c r="G46" i="12"/>
  <c r="G6" i="12" s="1"/>
  <c r="C48" i="12"/>
  <c r="C50" i="12"/>
  <c r="V7" i="12"/>
  <c r="N7" i="12" s="1"/>
  <c r="C7" i="12" s="1"/>
  <c r="C9" i="12"/>
  <c r="N25" i="12"/>
  <c r="C25" i="12" s="1"/>
  <c r="N26" i="12"/>
  <c r="C26" i="12" s="1"/>
  <c r="C35" i="12"/>
  <c r="N41" i="12"/>
  <c r="C8" i="12"/>
  <c r="C10" i="12"/>
  <c r="N19" i="12"/>
  <c r="C19" i="12" s="1"/>
  <c r="N20" i="12"/>
  <c r="C20" i="12" s="1"/>
  <c r="C23" i="12"/>
  <c r="C34" i="12"/>
  <c r="C36" i="12"/>
  <c r="C44" i="12"/>
  <c r="W6" i="12"/>
  <c r="H12" i="12"/>
  <c r="H6" i="12" s="1"/>
  <c r="N21" i="12"/>
  <c r="C21" i="12" s="1"/>
  <c r="N27" i="12"/>
  <c r="C27" i="12" s="1"/>
  <c r="C33" i="12"/>
  <c r="N37" i="12"/>
  <c r="C37" i="12" s="1"/>
  <c r="C42" i="12"/>
  <c r="C47" i="12"/>
  <c r="X18" i="12"/>
  <c r="N46" i="12"/>
  <c r="C14" i="12"/>
  <c r="X12" i="12"/>
  <c r="C16" i="12"/>
  <c r="D18" i="12"/>
  <c r="C22" i="12"/>
  <c r="C28" i="12"/>
  <c r="C30" i="12"/>
  <c r="C43" i="12"/>
  <c r="N13" i="12"/>
  <c r="C13" i="12" s="1"/>
  <c r="V18" i="12"/>
  <c r="D15" i="12"/>
  <c r="C15" i="12" s="1"/>
  <c r="L549" i="10"/>
  <c r="F549" i="10"/>
  <c r="L548" i="10"/>
  <c r="F548" i="10"/>
  <c r="L547" i="10"/>
  <c r="F547" i="10"/>
  <c r="L546" i="10"/>
  <c r="F546" i="10"/>
  <c r="L545" i="10"/>
  <c r="F545" i="10"/>
  <c r="X544" i="10"/>
  <c r="W544" i="10"/>
  <c r="V544" i="10"/>
  <c r="U544" i="10"/>
  <c r="T544" i="10"/>
  <c r="S544" i="10"/>
  <c r="R544" i="10"/>
  <c r="Q544" i="10"/>
  <c r="P544" i="10"/>
  <c r="O544" i="10"/>
  <c r="N544" i="10"/>
  <c r="M544" i="10"/>
  <c r="K544" i="10"/>
  <c r="J544" i="10"/>
  <c r="I544" i="10"/>
  <c r="H544" i="10"/>
  <c r="G544" i="10"/>
  <c r="R543" i="10"/>
  <c r="F543" i="10"/>
  <c r="P542" i="10"/>
  <c r="F542" i="10"/>
  <c r="X541" i="10"/>
  <c r="W541" i="10"/>
  <c r="V541" i="10"/>
  <c r="U541" i="10"/>
  <c r="T541" i="10"/>
  <c r="S541" i="10"/>
  <c r="Q541" i="10"/>
  <c r="O541" i="10"/>
  <c r="N541" i="10"/>
  <c r="M541" i="10"/>
  <c r="K541" i="10"/>
  <c r="J541" i="10"/>
  <c r="I541" i="10"/>
  <c r="H541" i="10"/>
  <c r="G541" i="10"/>
  <c r="L540" i="10"/>
  <c r="F540" i="10"/>
  <c r="L539" i="10"/>
  <c r="F539" i="10"/>
  <c r="L538" i="10"/>
  <c r="F538" i="10"/>
  <c r="M537" i="10"/>
  <c r="L537" i="10" s="1"/>
  <c r="F537" i="10"/>
  <c r="L536" i="10"/>
  <c r="F536" i="10"/>
  <c r="X535" i="10"/>
  <c r="W535" i="10"/>
  <c r="V535" i="10"/>
  <c r="U535" i="10"/>
  <c r="T535" i="10"/>
  <c r="S535" i="10"/>
  <c r="R535" i="10"/>
  <c r="Q535" i="10"/>
  <c r="P535" i="10"/>
  <c r="O535" i="10"/>
  <c r="N535" i="10"/>
  <c r="K535" i="10"/>
  <c r="J535" i="10"/>
  <c r="I535" i="10"/>
  <c r="H535" i="10"/>
  <c r="G535" i="10"/>
  <c r="L534" i="10"/>
  <c r="F534" i="10"/>
  <c r="X533" i="10"/>
  <c r="W533" i="10"/>
  <c r="V533" i="10"/>
  <c r="U533" i="10"/>
  <c r="T533" i="10"/>
  <c r="S533" i="10"/>
  <c r="R533" i="10"/>
  <c r="Q533" i="10"/>
  <c r="P533" i="10"/>
  <c r="O533" i="10"/>
  <c r="N533" i="10"/>
  <c r="M533" i="10"/>
  <c r="K533" i="10"/>
  <c r="J533" i="10"/>
  <c r="I533" i="10"/>
  <c r="H533" i="10"/>
  <c r="G533" i="10"/>
  <c r="X532" i="10"/>
  <c r="W532" i="10"/>
  <c r="V532" i="10"/>
  <c r="U532" i="10"/>
  <c r="T532" i="10"/>
  <c r="S532" i="10"/>
  <c r="R532" i="10"/>
  <c r="Q532" i="10"/>
  <c r="P532" i="10"/>
  <c r="O532" i="10"/>
  <c r="N532" i="10"/>
  <c r="M532" i="10"/>
  <c r="K532" i="10"/>
  <c r="J532" i="10"/>
  <c r="I532" i="10"/>
  <c r="H532" i="10"/>
  <c r="L531" i="10"/>
  <c r="F531" i="10"/>
  <c r="L530" i="10"/>
  <c r="F530" i="10"/>
  <c r="X529" i="10"/>
  <c r="W529" i="10"/>
  <c r="V529" i="10"/>
  <c r="U529" i="10"/>
  <c r="T529" i="10"/>
  <c r="S529" i="10"/>
  <c r="R529" i="10"/>
  <c r="Q529" i="10"/>
  <c r="P529" i="10"/>
  <c r="O529" i="10"/>
  <c r="N529" i="10"/>
  <c r="M529" i="10"/>
  <c r="K529" i="10"/>
  <c r="J529" i="10"/>
  <c r="I529" i="10"/>
  <c r="H529" i="10"/>
  <c r="G529" i="10"/>
  <c r="Q528" i="10"/>
  <c r="M528" i="10"/>
  <c r="F528" i="10"/>
  <c r="W527" i="10"/>
  <c r="M527" i="10"/>
  <c r="F527" i="10"/>
  <c r="L526" i="10"/>
  <c r="F526" i="10"/>
  <c r="X525" i="10"/>
  <c r="V525" i="10"/>
  <c r="U525" i="10"/>
  <c r="T525" i="10"/>
  <c r="S525" i="10"/>
  <c r="R525" i="10"/>
  <c r="Q525" i="10"/>
  <c r="P525" i="10"/>
  <c r="O525" i="10"/>
  <c r="N525" i="10"/>
  <c r="K525" i="10"/>
  <c r="J525" i="10"/>
  <c r="I525" i="10"/>
  <c r="H525" i="10"/>
  <c r="G525" i="10"/>
  <c r="L524" i="10"/>
  <c r="F524" i="10"/>
  <c r="X523" i="10"/>
  <c r="W523" i="10"/>
  <c r="V523" i="10"/>
  <c r="U523" i="10"/>
  <c r="T523" i="10"/>
  <c r="S523" i="10"/>
  <c r="R523" i="10"/>
  <c r="Q523" i="10"/>
  <c r="P523" i="10"/>
  <c r="O523" i="10"/>
  <c r="N523" i="10"/>
  <c r="M523" i="10"/>
  <c r="K523" i="10"/>
  <c r="J523" i="10"/>
  <c r="I523" i="10"/>
  <c r="H523" i="10"/>
  <c r="G523" i="10"/>
  <c r="L522" i="10"/>
  <c r="F522" i="10"/>
  <c r="L521" i="10"/>
  <c r="F521" i="10"/>
  <c r="L520" i="10"/>
  <c r="F520" i="10"/>
  <c r="L519" i="10"/>
  <c r="F519" i="10"/>
  <c r="L518" i="10"/>
  <c r="F518" i="10"/>
  <c r="L517" i="10"/>
  <c r="F517" i="10"/>
  <c r="L516" i="10"/>
  <c r="F516" i="10"/>
  <c r="L515" i="10"/>
  <c r="F515" i="10"/>
  <c r="L514" i="10"/>
  <c r="F514" i="10"/>
  <c r="L513" i="10"/>
  <c r="F513" i="10"/>
  <c r="L512" i="10"/>
  <c r="F512" i="10"/>
  <c r="L511" i="10"/>
  <c r="F511" i="10"/>
  <c r="L510" i="10"/>
  <c r="F510" i="10"/>
  <c r="L509" i="10"/>
  <c r="F509" i="10"/>
  <c r="L508" i="10"/>
  <c r="G508" i="10"/>
  <c r="F508" i="10" s="1"/>
  <c r="E508" i="10" s="1"/>
  <c r="L507" i="10"/>
  <c r="G507" i="10"/>
  <c r="X506" i="10"/>
  <c r="W506" i="10"/>
  <c r="V506" i="10"/>
  <c r="U506" i="10"/>
  <c r="T506" i="10"/>
  <c r="S506" i="10"/>
  <c r="R506" i="10"/>
  <c r="Q506" i="10"/>
  <c r="Q505" i="10" s="1"/>
  <c r="P506" i="10"/>
  <c r="O506" i="10"/>
  <c r="N506" i="10"/>
  <c r="M506" i="10"/>
  <c r="K506" i="10"/>
  <c r="J506" i="10"/>
  <c r="I506" i="10"/>
  <c r="H506" i="10"/>
  <c r="O505" i="10"/>
  <c r="L504" i="10"/>
  <c r="F504" i="10"/>
  <c r="L503" i="10"/>
  <c r="F503" i="10"/>
  <c r="L502" i="10"/>
  <c r="F502" i="10"/>
  <c r="E502" i="10" s="1"/>
  <c r="L501" i="10"/>
  <c r="F501" i="10"/>
  <c r="L500" i="10"/>
  <c r="F500" i="10"/>
  <c r="E500" i="10" s="1"/>
  <c r="W499" i="10"/>
  <c r="S499" i="10"/>
  <c r="S494" i="10" s="1"/>
  <c r="F499" i="10"/>
  <c r="V498" i="10"/>
  <c r="P498" i="10"/>
  <c r="F498" i="10"/>
  <c r="L497" i="10"/>
  <c r="F497" i="10"/>
  <c r="E497" i="10" s="1"/>
  <c r="L496" i="10"/>
  <c r="F496" i="10"/>
  <c r="E496" i="10" s="1"/>
  <c r="W495" i="10"/>
  <c r="V495" i="10"/>
  <c r="V494" i="10" s="1"/>
  <c r="F495" i="10"/>
  <c r="X494" i="10"/>
  <c r="U494" i="10"/>
  <c r="T494" i="10"/>
  <c r="R494" i="10"/>
  <c r="Q494" i="10"/>
  <c r="O494" i="10"/>
  <c r="N494" i="10"/>
  <c r="M494" i="10"/>
  <c r="K494" i="10"/>
  <c r="J494" i="10"/>
  <c r="I494" i="10"/>
  <c r="H494" i="10"/>
  <c r="G494" i="10"/>
  <c r="L493" i="10"/>
  <c r="F493" i="10"/>
  <c r="L492" i="10"/>
  <c r="F492" i="10"/>
  <c r="L491" i="10"/>
  <c r="F491" i="10"/>
  <c r="L490" i="10"/>
  <c r="F490" i="10"/>
  <c r="L489" i="10"/>
  <c r="F489" i="10"/>
  <c r="W488" i="10"/>
  <c r="L488" i="10" s="1"/>
  <c r="F488" i="10"/>
  <c r="L487" i="10"/>
  <c r="F487" i="10"/>
  <c r="L486" i="10"/>
  <c r="F486" i="10"/>
  <c r="W485" i="10"/>
  <c r="L485" i="10" s="1"/>
  <c r="F485" i="10"/>
  <c r="W484" i="10"/>
  <c r="P484" i="10"/>
  <c r="F484" i="10"/>
  <c r="X483" i="10"/>
  <c r="W483" i="10"/>
  <c r="V483" i="10"/>
  <c r="U483" i="10"/>
  <c r="T483" i="10"/>
  <c r="S483" i="10"/>
  <c r="R483" i="10"/>
  <c r="Q483" i="10"/>
  <c r="O483" i="10"/>
  <c r="N483" i="10"/>
  <c r="M483" i="10"/>
  <c r="K483" i="10"/>
  <c r="J483" i="10"/>
  <c r="I483" i="10"/>
  <c r="H483" i="10"/>
  <c r="G483" i="10"/>
  <c r="L482" i="10"/>
  <c r="F482" i="10"/>
  <c r="L481" i="10"/>
  <c r="F481" i="10"/>
  <c r="L480" i="10"/>
  <c r="F480" i="10"/>
  <c r="L479" i="10"/>
  <c r="F479" i="10"/>
  <c r="L478" i="10"/>
  <c r="F478" i="10"/>
  <c r="L477" i="10"/>
  <c r="F477" i="10"/>
  <c r="X476" i="10"/>
  <c r="W476" i="10"/>
  <c r="V476" i="10"/>
  <c r="U476" i="10"/>
  <c r="T476" i="10"/>
  <c r="S476" i="10"/>
  <c r="R476" i="10"/>
  <c r="Q476" i="10"/>
  <c r="P476" i="10"/>
  <c r="O476" i="10"/>
  <c r="N476" i="10"/>
  <c r="M476" i="10"/>
  <c r="K476" i="10"/>
  <c r="J476" i="10"/>
  <c r="I476" i="10"/>
  <c r="H476" i="10"/>
  <c r="G476" i="10"/>
  <c r="L475" i="10"/>
  <c r="F475" i="10"/>
  <c r="L474" i="10"/>
  <c r="F474" i="10"/>
  <c r="L473" i="10"/>
  <c r="F473" i="10"/>
  <c r="L472" i="10"/>
  <c r="F472" i="10"/>
  <c r="W471" i="10"/>
  <c r="L471" i="10" s="1"/>
  <c r="F471" i="10"/>
  <c r="L470" i="10"/>
  <c r="F470" i="10"/>
  <c r="W469" i="10"/>
  <c r="L469" i="10" s="1"/>
  <c r="F469" i="10"/>
  <c r="W468" i="10"/>
  <c r="V468" i="10"/>
  <c r="F468" i="10"/>
  <c r="L467" i="10"/>
  <c r="F467" i="10"/>
  <c r="L466" i="10"/>
  <c r="F466" i="10"/>
  <c r="L465" i="10"/>
  <c r="F465" i="10"/>
  <c r="L464" i="10"/>
  <c r="F464" i="10"/>
  <c r="X463" i="10"/>
  <c r="V463" i="10"/>
  <c r="U463" i="10"/>
  <c r="T463" i="10"/>
  <c r="S463" i="10"/>
  <c r="R463" i="10"/>
  <c r="Q463" i="10"/>
  <c r="P463" i="10"/>
  <c r="O463" i="10"/>
  <c r="N463" i="10"/>
  <c r="M463" i="10"/>
  <c r="K463" i="10"/>
  <c r="J463" i="10"/>
  <c r="I463" i="10"/>
  <c r="H463" i="10"/>
  <c r="G463" i="10"/>
  <c r="L462" i="10"/>
  <c r="F462" i="10"/>
  <c r="L461" i="10"/>
  <c r="F461" i="10"/>
  <c r="L460" i="10"/>
  <c r="F460" i="10"/>
  <c r="X459" i="10"/>
  <c r="W459" i="10"/>
  <c r="V459" i="10"/>
  <c r="U459" i="10"/>
  <c r="T459" i="10"/>
  <c r="S459" i="10"/>
  <c r="R459" i="10"/>
  <c r="Q459" i="10"/>
  <c r="P459" i="10"/>
  <c r="O459" i="10"/>
  <c r="N459" i="10"/>
  <c r="M459" i="10"/>
  <c r="K459" i="10"/>
  <c r="J459" i="10"/>
  <c r="I459" i="10"/>
  <c r="H459" i="10"/>
  <c r="G459" i="10"/>
  <c r="L458" i="10"/>
  <c r="E458" i="10" s="1"/>
  <c r="F458" i="10"/>
  <c r="X457" i="10"/>
  <c r="W457" i="10"/>
  <c r="V457" i="10"/>
  <c r="U457" i="10"/>
  <c r="T457" i="10"/>
  <c r="S457" i="10"/>
  <c r="R457" i="10"/>
  <c r="Q457" i="10"/>
  <c r="P457" i="10"/>
  <c r="O457" i="10"/>
  <c r="N457" i="10"/>
  <c r="M457" i="10"/>
  <c r="K457" i="10"/>
  <c r="J457" i="10"/>
  <c r="I457" i="10"/>
  <c r="H457" i="10"/>
  <c r="G457" i="10"/>
  <c r="L456" i="10"/>
  <c r="F456" i="10"/>
  <c r="E456" i="10" s="1"/>
  <c r="L455" i="10"/>
  <c r="F455" i="10"/>
  <c r="E455" i="10" s="1"/>
  <c r="L454" i="10"/>
  <c r="F454" i="10"/>
  <c r="L453" i="10"/>
  <c r="F453" i="10"/>
  <c r="L452" i="10"/>
  <c r="F452" i="10"/>
  <c r="L451" i="10"/>
  <c r="F451" i="10"/>
  <c r="L450" i="10"/>
  <c r="F450" i="10"/>
  <c r="L449" i="10"/>
  <c r="F449" i="10"/>
  <c r="L448" i="10"/>
  <c r="F448" i="10"/>
  <c r="L447" i="10"/>
  <c r="F447" i="10"/>
  <c r="L446" i="10"/>
  <c r="F446" i="10"/>
  <c r="X445" i="10"/>
  <c r="W445" i="10"/>
  <c r="V445" i="10"/>
  <c r="U445" i="10"/>
  <c r="T445" i="10"/>
  <c r="S445" i="10"/>
  <c r="R445" i="10"/>
  <c r="Q445" i="10"/>
  <c r="P445" i="10"/>
  <c r="O445" i="10"/>
  <c r="N445" i="10"/>
  <c r="M445" i="10"/>
  <c r="K445" i="10"/>
  <c r="J445" i="10"/>
  <c r="I445" i="10"/>
  <c r="H445" i="10"/>
  <c r="G445" i="10"/>
  <c r="L444" i="10"/>
  <c r="F444" i="10"/>
  <c r="L443" i="10"/>
  <c r="F443" i="10"/>
  <c r="L442" i="10"/>
  <c r="F442" i="10"/>
  <c r="L441" i="10"/>
  <c r="F441" i="10"/>
  <c r="X440" i="10"/>
  <c r="P440" i="10"/>
  <c r="F440" i="10"/>
  <c r="L439" i="10"/>
  <c r="F439" i="10"/>
  <c r="L438" i="10"/>
  <c r="F438" i="10"/>
  <c r="L437" i="10"/>
  <c r="F437" i="10"/>
  <c r="L436" i="10"/>
  <c r="F436" i="10"/>
  <c r="L435" i="10"/>
  <c r="F435" i="10"/>
  <c r="L434" i="10"/>
  <c r="F434" i="10"/>
  <c r="L433" i="10"/>
  <c r="F433" i="10"/>
  <c r="L432" i="10"/>
  <c r="F432" i="10"/>
  <c r="L431" i="10"/>
  <c r="F431" i="10"/>
  <c r="L430" i="10"/>
  <c r="F430" i="10"/>
  <c r="L429" i="10"/>
  <c r="F429" i="10"/>
  <c r="L428" i="10"/>
  <c r="F428" i="10"/>
  <c r="L427" i="10"/>
  <c r="F427" i="10"/>
  <c r="L426" i="10"/>
  <c r="F426" i="10"/>
  <c r="E426" i="10" s="1"/>
  <c r="X425" i="10"/>
  <c r="T425" i="10"/>
  <c r="F425" i="10"/>
  <c r="M424" i="10"/>
  <c r="F424" i="10"/>
  <c r="L423" i="10"/>
  <c r="F423" i="10"/>
  <c r="E423" i="10" s="1"/>
  <c r="L422" i="10"/>
  <c r="F422" i="10"/>
  <c r="L421" i="10"/>
  <c r="F421" i="10"/>
  <c r="L420" i="10"/>
  <c r="F420" i="10"/>
  <c r="L419" i="10"/>
  <c r="F419" i="10"/>
  <c r="L418" i="10"/>
  <c r="F418" i="10"/>
  <c r="L417" i="10"/>
  <c r="F417" i="10"/>
  <c r="L416" i="10"/>
  <c r="F416" i="10"/>
  <c r="L415" i="10"/>
  <c r="F415" i="10"/>
  <c r="L414" i="10"/>
  <c r="F414" i="10"/>
  <c r="L413" i="10"/>
  <c r="F413" i="10"/>
  <c r="W412" i="10"/>
  <c r="V412" i="10"/>
  <c r="U412" i="10"/>
  <c r="S412" i="10"/>
  <c r="R412" i="10"/>
  <c r="Q412" i="10"/>
  <c r="P412" i="10"/>
  <c r="O412" i="10"/>
  <c r="N412" i="10"/>
  <c r="K412" i="10"/>
  <c r="J412" i="10"/>
  <c r="I412" i="10"/>
  <c r="H412" i="10"/>
  <c r="G412" i="10"/>
  <c r="L411" i="10"/>
  <c r="F411" i="10"/>
  <c r="L410" i="10"/>
  <c r="F410" i="10"/>
  <c r="L409" i="10"/>
  <c r="F409" i="10"/>
  <c r="L408" i="10"/>
  <c r="F408" i="10"/>
  <c r="L407" i="10"/>
  <c r="G407" i="10"/>
  <c r="F407" i="10" s="1"/>
  <c r="L406" i="10"/>
  <c r="G406" i="10"/>
  <c r="F406" i="10" s="1"/>
  <c r="L405" i="10"/>
  <c r="F405" i="10"/>
  <c r="L404" i="10"/>
  <c r="G404" i="10"/>
  <c r="F404" i="10"/>
  <c r="L403" i="10"/>
  <c r="F403" i="10"/>
  <c r="E403" i="10" s="1"/>
  <c r="X402" i="10"/>
  <c r="W402" i="10"/>
  <c r="V402" i="10"/>
  <c r="U402" i="10"/>
  <c r="T402" i="10"/>
  <c r="S402" i="10"/>
  <c r="R402" i="10"/>
  <c r="Q402" i="10"/>
  <c r="P402" i="10"/>
  <c r="O402" i="10"/>
  <c r="N402" i="10"/>
  <c r="M402" i="10"/>
  <c r="K402" i="10"/>
  <c r="J402" i="10"/>
  <c r="I402" i="10"/>
  <c r="H402" i="10"/>
  <c r="L401" i="10"/>
  <c r="F401" i="10"/>
  <c r="L400" i="10"/>
  <c r="F400" i="10"/>
  <c r="E400" i="10" s="1"/>
  <c r="L399" i="10"/>
  <c r="F399" i="10"/>
  <c r="L398" i="10"/>
  <c r="F398" i="10"/>
  <c r="L397" i="10"/>
  <c r="F397" i="10"/>
  <c r="L396" i="10"/>
  <c r="F396" i="10"/>
  <c r="L395" i="10"/>
  <c r="F395" i="10"/>
  <c r="L394" i="10"/>
  <c r="F394" i="10"/>
  <c r="L393" i="10"/>
  <c r="F393" i="10"/>
  <c r="X392" i="10"/>
  <c r="W392" i="10"/>
  <c r="V392" i="10"/>
  <c r="U392" i="10"/>
  <c r="T392" i="10"/>
  <c r="S392" i="10"/>
  <c r="R392" i="10"/>
  <c r="Q392" i="10"/>
  <c r="P392" i="10"/>
  <c r="O392" i="10"/>
  <c r="N392" i="10"/>
  <c r="M392" i="10"/>
  <c r="K392" i="10"/>
  <c r="J392" i="10"/>
  <c r="I392" i="10"/>
  <c r="H392" i="10"/>
  <c r="G392" i="10"/>
  <c r="L391" i="10"/>
  <c r="F391" i="10"/>
  <c r="L390" i="10"/>
  <c r="F390" i="10"/>
  <c r="L389" i="10"/>
  <c r="F389" i="10"/>
  <c r="L388" i="10"/>
  <c r="F388" i="10"/>
  <c r="L387" i="10"/>
  <c r="F387" i="10"/>
  <c r="X386" i="10"/>
  <c r="W386" i="10"/>
  <c r="V386" i="10"/>
  <c r="U386" i="10"/>
  <c r="T386" i="10"/>
  <c r="S386" i="10"/>
  <c r="R386" i="10"/>
  <c r="Q386" i="10"/>
  <c r="P386" i="10"/>
  <c r="O386" i="10"/>
  <c r="N386" i="10"/>
  <c r="M386" i="10"/>
  <c r="K386" i="10"/>
  <c r="K385" i="10" s="1"/>
  <c r="J386" i="10"/>
  <c r="J385" i="10" s="1"/>
  <c r="I386" i="10"/>
  <c r="I385" i="10" s="1"/>
  <c r="H386" i="10"/>
  <c r="G386" i="10"/>
  <c r="M385" i="10"/>
  <c r="H385" i="10"/>
  <c r="L384" i="10"/>
  <c r="F384" i="10"/>
  <c r="L383" i="10"/>
  <c r="F383" i="10"/>
  <c r="L382" i="10"/>
  <c r="F382" i="10"/>
  <c r="L381" i="10"/>
  <c r="F381" i="10"/>
  <c r="L380" i="10"/>
  <c r="F380" i="10"/>
  <c r="X379" i="10"/>
  <c r="W379" i="10"/>
  <c r="V379" i="10"/>
  <c r="U379" i="10"/>
  <c r="T379" i="10"/>
  <c r="S379" i="10"/>
  <c r="R379" i="10"/>
  <c r="Q379" i="10"/>
  <c r="P379" i="10"/>
  <c r="O379" i="10"/>
  <c r="N379" i="10"/>
  <c r="M379" i="10"/>
  <c r="K379" i="10"/>
  <c r="J379" i="10"/>
  <c r="I379" i="10"/>
  <c r="H379" i="10"/>
  <c r="G379" i="10"/>
  <c r="L378" i="10"/>
  <c r="F378" i="10"/>
  <c r="L377" i="10"/>
  <c r="F377" i="10"/>
  <c r="L376" i="10"/>
  <c r="F376" i="10"/>
  <c r="L375" i="10"/>
  <c r="F375" i="10"/>
  <c r="L374" i="10"/>
  <c r="F374" i="10"/>
  <c r="L373" i="10"/>
  <c r="F373" i="10"/>
  <c r="L372" i="10"/>
  <c r="F372" i="10"/>
  <c r="L371" i="10"/>
  <c r="F371" i="10"/>
  <c r="L370" i="10"/>
  <c r="F370" i="10"/>
  <c r="L369" i="10"/>
  <c r="F369" i="10"/>
  <c r="L368" i="10"/>
  <c r="F368" i="10"/>
  <c r="L367" i="10"/>
  <c r="F367" i="10"/>
  <c r="L366" i="10"/>
  <c r="F366" i="10"/>
  <c r="L365" i="10"/>
  <c r="F365" i="10"/>
  <c r="L364" i="10"/>
  <c r="F364" i="10"/>
  <c r="L363" i="10"/>
  <c r="F363" i="10"/>
  <c r="L362" i="10"/>
  <c r="F362" i="10"/>
  <c r="L361" i="10"/>
  <c r="F361" i="10"/>
  <c r="L360" i="10"/>
  <c r="F360" i="10"/>
  <c r="L359" i="10"/>
  <c r="F359" i="10"/>
  <c r="L358" i="10"/>
  <c r="F358" i="10"/>
  <c r="X357" i="10"/>
  <c r="W357" i="10"/>
  <c r="V357" i="10"/>
  <c r="U357" i="10"/>
  <c r="T357" i="10"/>
  <c r="S357" i="10"/>
  <c r="R357" i="10"/>
  <c r="Q357" i="10"/>
  <c r="Q356" i="10" s="1"/>
  <c r="P357" i="10"/>
  <c r="O357" i="10"/>
  <c r="N357" i="10"/>
  <c r="M357" i="10"/>
  <c r="K357" i="10"/>
  <c r="K356" i="10" s="1"/>
  <c r="J357" i="10"/>
  <c r="I357" i="10"/>
  <c r="I356" i="10" s="1"/>
  <c r="H357" i="10"/>
  <c r="G357" i="10"/>
  <c r="L355" i="10"/>
  <c r="F355" i="10"/>
  <c r="L354" i="10"/>
  <c r="F354" i="10"/>
  <c r="E354" i="10" s="1"/>
  <c r="R353" i="10"/>
  <c r="L353" i="10" s="1"/>
  <c r="F353" i="10"/>
  <c r="E353" i="10" s="1"/>
  <c r="L352" i="10"/>
  <c r="F352" i="10"/>
  <c r="L351" i="10"/>
  <c r="F351" i="10"/>
  <c r="E351" i="10" s="1"/>
  <c r="L350" i="10"/>
  <c r="F350" i="10"/>
  <c r="L349" i="10"/>
  <c r="F349" i="10"/>
  <c r="L348" i="10"/>
  <c r="F348" i="10"/>
  <c r="L347" i="10"/>
  <c r="F347" i="10"/>
  <c r="L346" i="10"/>
  <c r="F346" i="10"/>
  <c r="E346" i="10" s="1"/>
  <c r="L345" i="10"/>
  <c r="F345" i="10"/>
  <c r="L344" i="10"/>
  <c r="F344" i="10"/>
  <c r="E344" i="10" s="1"/>
  <c r="L343" i="10"/>
  <c r="F343" i="10"/>
  <c r="E343" i="10" s="1"/>
  <c r="L342" i="10"/>
  <c r="F342" i="10"/>
  <c r="L341" i="10"/>
  <c r="F341" i="10"/>
  <c r="L340" i="10"/>
  <c r="F340" i="10"/>
  <c r="L339" i="10"/>
  <c r="F339" i="10"/>
  <c r="E339" i="10" s="1"/>
  <c r="L338" i="10"/>
  <c r="F338" i="10"/>
  <c r="L337" i="10"/>
  <c r="F337" i="10"/>
  <c r="L336" i="10"/>
  <c r="F336" i="10"/>
  <c r="L335" i="10"/>
  <c r="F335" i="10"/>
  <c r="L334" i="10"/>
  <c r="F334" i="10"/>
  <c r="L333" i="10"/>
  <c r="F333" i="10"/>
  <c r="L332" i="10"/>
  <c r="F332" i="10"/>
  <c r="L331" i="10"/>
  <c r="F331" i="10"/>
  <c r="L330" i="10"/>
  <c r="F330" i="10"/>
  <c r="L329" i="10"/>
  <c r="F329" i="10"/>
  <c r="X328" i="10"/>
  <c r="W328" i="10"/>
  <c r="V328" i="10"/>
  <c r="U328" i="10"/>
  <c r="T328" i="10"/>
  <c r="S328" i="10"/>
  <c r="R328" i="10"/>
  <c r="Q328" i="10"/>
  <c r="P328" i="10"/>
  <c r="O328" i="10"/>
  <c r="N328" i="10"/>
  <c r="M328" i="10"/>
  <c r="K328" i="10"/>
  <c r="J328" i="10"/>
  <c r="I328" i="10"/>
  <c r="H328" i="10"/>
  <c r="G328" i="10"/>
  <c r="L327" i="10"/>
  <c r="F327" i="10"/>
  <c r="L326" i="10"/>
  <c r="F326" i="10"/>
  <c r="E326" i="10" s="1"/>
  <c r="L325" i="10"/>
  <c r="F325" i="10"/>
  <c r="L324" i="10"/>
  <c r="F324" i="10"/>
  <c r="L323" i="10"/>
  <c r="F323" i="10"/>
  <c r="L322" i="10"/>
  <c r="K322" i="10"/>
  <c r="F322" i="10"/>
  <c r="L321" i="10"/>
  <c r="F321" i="10"/>
  <c r="L320" i="10"/>
  <c r="F320" i="10"/>
  <c r="L319" i="10"/>
  <c r="F319" i="10"/>
  <c r="L318" i="10"/>
  <c r="F318" i="10"/>
  <c r="L317" i="10"/>
  <c r="K317" i="10"/>
  <c r="F317" i="10" s="1"/>
  <c r="X316" i="10"/>
  <c r="W316" i="10"/>
  <c r="V316" i="10"/>
  <c r="U316" i="10"/>
  <c r="T316" i="10"/>
  <c r="S316" i="10"/>
  <c r="R316" i="10"/>
  <c r="Q316" i="10"/>
  <c r="P316" i="10"/>
  <c r="O316" i="10"/>
  <c r="N316" i="10"/>
  <c r="M316" i="10"/>
  <c r="K316" i="10"/>
  <c r="J316" i="10"/>
  <c r="I316" i="10"/>
  <c r="H316" i="10"/>
  <c r="G316" i="10"/>
  <c r="F316" i="10" s="1"/>
  <c r="L315" i="10"/>
  <c r="F315" i="10"/>
  <c r="E315" i="10" s="1"/>
  <c r="L314" i="10"/>
  <c r="F314" i="10"/>
  <c r="L313" i="10"/>
  <c r="F313" i="10"/>
  <c r="L312" i="10"/>
  <c r="F312" i="10"/>
  <c r="L311" i="10"/>
  <c r="F311" i="10"/>
  <c r="L310" i="10"/>
  <c r="F310" i="10"/>
  <c r="L309" i="10"/>
  <c r="F309" i="10"/>
  <c r="L308" i="10"/>
  <c r="F308" i="10"/>
  <c r="L307" i="10"/>
  <c r="F307" i="10"/>
  <c r="L306" i="10"/>
  <c r="F306" i="10"/>
  <c r="L305" i="10"/>
  <c r="F305" i="10"/>
  <c r="L304" i="10"/>
  <c r="F304" i="10"/>
  <c r="L303" i="10"/>
  <c r="F303" i="10"/>
  <c r="E303" i="10" s="1"/>
  <c r="L302" i="10"/>
  <c r="F302" i="10"/>
  <c r="L301" i="10"/>
  <c r="F301" i="10"/>
  <c r="L300" i="10"/>
  <c r="F300" i="10"/>
  <c r="L299" i="10"/>
  <c r="F299" i="10"/>
  <c r="L298" i="10"/>
  <c r="E298" i="10" s="1"/>
  <c r="F298" i="10"/>
  <c r="L297" i="10"/>
  <c r="F297" i="10"/>
  <c r="X296" i="10"/>
  <c r="X265" i="10" s="1"/>
  <c r="W296" i="10"/>
  <c r="V296" i="10"/>
  <c r="V265" i="10" s="1"/>
  <c r="U296" i="10"/>
  <c r="T296" i="10"/>
  <c r="S296" i="10"/>
  <c r="S265" i="10" s="1"/>
  <c r="R296" i="10"/>
  <c r="R265" i="10" s="1"/>
  <c r="Q296" i="10"/>
  <c r="P296" i="10"/>
  <c r="P265" i="10" s="1"/>
  <c r="O296" i="10"/>
  <c r="N296" i="10"/>
  <c r="N265" i="10" s="1"/>
  <c r="M296" i="10"/>
  <c r="F296" i="10"/>
  <c r="L295" i="10"/>
  <c r="F295" i="10"/>
  <c r="E295" i="10" s="1"/>
  <c r="M294" i="10"/>
  <c r="L294" i="10"/>
  <c r="F294" i="10"/>
  <c r="L293" i="10"/>
  <c r="E293" i="10" s="1"/>
  <c r="F293" i="10"/>
  <c r="L292" i="10"/>
  <c r="F292" i="10"/>
  <c r="L291" i="10"/>
  <c r="F291" i="10"/>
  <c r="L290" i="10"/>
  <c r="F290" i="10"/>
  <c r="L289" i="10"/>
  <c r="F289" i="10"/>
  <c r="L288" i="10"/>
  <c r="F288" i="10"/>
  <c r="L287" i="10"/>
  <c r="F287" i="10"/>
  <c r="L286" i="10"/>
  <c r="F286" i="10"/>
  <c r="L285" i="10"/>
  <c r="F285" i="10"/>
  <c r="L284" i="10"/>
  <c r="F284" i="10"/>
  <c r="L283" i="10"/>
  <c r="F283" i="10"/>
  <c r="Q282" i="10"/>
  <c r="M282" i="10"/>
  <c r="F282" i="10"/>
  <c r="L281" i="10"/>
  <c r="F281" i="10"/>
  <c r="L280" i="10"/>
  <c r="F280" i="10"/>
  <c r="L279" i="10"/>
  <c r="F279" i="10"/>
  <c r="L278" i="10"/>
  <c r="F278" i="10"/>
  <c r="L277" i="10"/>
  <c r="F277" i="10"/>
  <c r="L276" i="10"/>
  <c r="F276" i="10"/>
  <c r="L275" i="10"/>
  <c r="F275" i="10"/>
  <c r="L274" i="10"/>
  <c r="F274" i="10"/>
  <c r="W273" i="10"/>
  <c r="L273" i="10" s="1"/>
  <c r="F273" i="10"/>
  <c r="L272" i="10"/>
  <c r="F272" i="10"/>
  <c r="W271" i="10"/>
  <c r="O271" i="10"/>
  <c r="M271" i="10"/>
  <c r="F271" i="10"/>
  <c r="L270" i="10"/>
  <c r="F270" i="10"/>
  <c r="M269" i="10"/>
  <c r="L269" i="10"/>
  <c r="F269" i="10"/>
  <c r="O268" i="10"/>
  <c r="L268" i="10" s="1"/>
  <c r="F268" i="10"/>
  <c r="L267" i="10"/>
  <c r="F267" i="10"/>
  <c r="L266" i="10"/>
  <c r="F266" i="10"/>
  <c r="U265" i="10"/>
  <c r="T265" i="10"/>
  <c r="M265" i="10"/>
  <c r="K265" i="10"/>
  <c r="J265" i="10"/>
  <c r="I265" i="10"/>
  <c r="H265" i="10"/>
  <c r="G265" i="10"/>
  <c r="L264" i="10"/>
  <c r="F264" i="10"/>
  <c r="L263" i="10"/>
  <c r="F263" i="10"/>
  <c r="L262" i="10"/>
  <c r="F262" i="10"/>
  <c r="L261" i="10"/>
  <c r="F261" i="10"/>
  <c r="L260" i="10"/>
  <c r="F260" i="10"/>
  <c r="L259" i="10"/>
  <c r="F259" i="10"/>
  <c r="L258" i="10"/>
  <c r="F258" i="10"/>
  <c r="L257" i="10"/>
  <c r="E257" i="10" s="1"/>
  <c r="F257" i="10"/>
  <c r="L256" i="10"/>
  <c r="F256" i="10"/>
  <c r="L255" i="10"/>
  <c r="F255" i="10"/>
  <c r="L254" i="10"/>
  <c r="F254" i="10"/>
  <c r="L253" i="10"/>
  <c r="F253" i="10"/>
  <c r="L252" i="10"/>
  <c r="F252" i="10"/>
  <c r="L251" i="10"/>
  <c r="F251" i="10"/>
  <c r="L250" i="10"/>
  <c r="F250" i="10"/>
  <c r="L249" i="10"/>
  <c r="F249" i="10"/>
  <c r="L248" i="10"/>
  <c r="F248" i="10"/>
  <c r="L247" i="10"/>
  <c r="F247" i="10"/>
  <c r="L246" i="10"/>
  <c r="F246" i="10"/>
  <c r="L245" i="10"/>
  <c r="F245" i="10"/>
  <c r="L244" i="10"/>
  <c r="F244" i="10"/>
  <c r="L243" i="10"/>
  <c r="F243" i="10"/>
  <c r="L242" i="10"/>
  <c r="F242" i="10"/>
  <c r="L241" i="10"/>
  <c r="F241" i="10"/>
  <c r="L240" i="10"/>
  <c r="F240" i="10"/>
  <c r="L239" i="10"/>
  <c r="F239" i="10"/>
  <c r="L238" i="10"/>
  <c r="F238" i="10"/>
  <c r="L237" i="10"/>
  <c r="F237" i="10"/>
  <c r="L236" i="10"/>
  <c r="F236" i="10"/>
  <c r="L235" i="10"/>
  <c r="F235" i="10"/>
  <c r="X234" i="10"/>
  <c r="W234" i="10"/>
  <c r="V234" i="10"/>
  <c r="U234" i="10"/>
  <c r="T234" i="10"/>
  <c r="S234" i="10"/>
  <c r="R234" i="10"/>
  <c r="Q234" i="10"/>
  <c r="P234" i="10"/>
  <c r="O234" i="10"/>
  <c r="N234" i="10"/>
  <c r="M234" i="10"/>
  <c r="K234" i="10"/>
  <c r="J234" i="10"/>
  <c r="I234" i="10"/>
  <c r="H234" i="10"/>
  <c r="G234" i="10"/>
  <c r="F234" i="10" s="1"/>
  <c r="L233" i="10"/>
  <c r="F233" i="10"/>
  <c r="E233" i="10" s="1"/>
  <c r="L232" i="10"/>
  <c r="F232" i="10"/>
  <c r="E232" i="10" s="1"/>
  <c r="L231" i="10"/>
  <c r="F231" i="10"/>
  <c r="V230" i="10"/>
  <c r="L230" i="10" s="1"/>
  <c r="F230" i="10"/>
  <c r="L229" i="10"/>
  <c r="F229" i="10"/>
  <c r="L228" i="10"/>
  <c r="F228" i="10"/>
  <c r="L227" i="10"/>
  <c r="F227" i="10"/>
  <c r="E227" i="10" s="1"/>
  <c r="W226" i="10"/>
  <c r="L226" i="10" s="1"/>
  <c r="F226" i="10"/>
  <c r="E226" i="10" s="1"/>
  <c r="L225" i="10"/>
  <c r="F225" i="10"/>
  <c r="L224" i="10"/>
  <c r="F224" i="10"/>
  <c r="L223" i="10"/>
  <c r="F223" i="10"/>
  <c r="L222" i="10"/>
  <c r="F222" i="10"/>
  <c r="E222" i="10" s="1"/>
  <c r="L221" i="10"/>
  <c r="F221" i="10"/>
  <c r="V220" i="10"/>
  <c r="F220" i="10"/>
  <c r="W219" i="10"/>
  <c r="L219" i="10" s="1"/>
  <c r="F219" i="10"/>
  <c r="W218" i="10"/>
  <c r="F218" i="10"/>
  <c r="L217" i="10"/>
  <c r="F217" i="10"/>
  <c r="L216" i="10"/>
  <c r="F216" i="10"/>
  <c r="L215" i="10"/>
  <c r="F215" i="10"/>
  <c r="X214" i="10"/>
  <c r="U214" i="10"/>
  <c r="T214" i="10"/>
  <c r="S214" i="10"/>
  <c r="R214" i="10"/>
  <c r="Q214" i="10"/>
  <c r="P214" i="10"/>
  <c r="O214" i="10"/>
  <c r="N214" i="10"/>
  <c r="M214" i="10"/>
  <c r="K214" i="10"/>
  <c r="J214" i="10"/>
  <c r="I214" i="10"/>
  <c r="H214" i="10"/>
  <c r="G214" i="10"/>
  <c r="L213" i="10"/>
  <c r="F213" i="10"/>
  <c r="L212" i="10"/>
  <c r="F212" i="10"/>
  <c r="L211" i="10"/>
  <c r="F211" i="10"/>
  <c r="L210" i="10"/>
  <c r="F210" i="10"/>
  <c r="X209" i="10"/>
  <c r="X206" i="10" s="1"/>
  <c r="F209" i="10"/>
  <c r="L208" i="10"/>
  <c r="F208" i="10"/>
  <c r="E208" i="10" s="1"/>
  <c r="N207" i="10"/>
  <c r="L207" i="10" s="1"/>
  <c r="F207" i="10"/>
  <c r="W206" i="10"/>
  <c r="V206" i="10"/>
  <c r="U206" i="10"/>
  <c r="T206" i="10"/>
  <c r="S206" i="10"/>
  <c r="R206" i="10"/>
  <c r="Q206" i="10"/>
  <c r="P206" i="10"/>
  <c r="O206" i="10"/>
  <c r="M206" i="10"/>
  <c r="K206" i="10"/>
  <c r="J206" i="10"/>
  <c r="I206" i="10"/>
  <c r="H206" i="10"/>
  <c r="G206" i="10"/>
  <c r="L205" i="10"/>
  <c r="F205" i="10"/>
  <c r="L204" i="10"/>
  <c r="F204" i="10"/>
  <c r="L203" i="10"/>
  <c r="F203" i="10"/>
  <c r="L202" i="10"/>
  <c r="F202" i="10"/>
  <c r="L201" i="10"/>
  <c r="F201" i="10"/>
  <c r="L200" i="10"/>
  <c r="F200" i="10"/>
  <c r="L199" i="10"/>
  <c r="F199" i="10"/>
  <c r="L198" i="10"/>
  <c r="F198" i="10"/>
  <c r="L197" i="10"/>
  <c r="F197" i="10"/>
  <c r="L196" i="10"/>
  <c r="F196" i="10"/>
  <c r="L195" i="10"/>
  <c r="F195" i="10"/>
  <c r="L194" i="10"/>
  <c r="F194" i="10"/>
  <c r="L193" i="10"/>
  <c r="F193" i="10"/>
  <c r="L192" i="10"/>
  <c r="F192" i="10"/>
  <c r="L191" i="10"/>
  <c r="F191" i="10"/>
  <c r="L190" i="10"/>
  <c r="F190" i="10"/>
  <c r="L189" i="10"/>
  <c r="F189" i="10"/>
  <c r="L188" i="10"/>
  <c r="E188" i="10" s="1"/>
  <c r="F188" i="10"/>
  <c r="X187" i="10"/>
  <c r="W187" i="10"/>
  <c r="V187" i="10"/>
  <c r="U187" i="10"/>
  <c r="T187" i="10"/>
  <c r="S187" i="10"/>
  <c r="R187" i="10"/>
  <c r="Q187" i="10"/>
  <c r="P187" i="10"/>
  <c r="O187" i="10"/>
  <c r="N187" i="10"/>
  <c r="M187" i="10"/>
  <c r="K187" i="10"/>
  <c r="J187" i="10"/>
  <c r="I187" i="10"/>
  <c r="H187" i="10"/>
  <c r="G187" i="10"/>
  <c r="L186" i="10"/>
  <c r="F186" i="10"/>
  <c r="E186" i="10" s="1"/>
  <c r="L185" i="10"/>
  <c r="F185" i="10"/>
  <c r="E185" i="10" s="1"/>
  <c r="L184" i="10"/>
  <c r="F184" i="10"/>
  <c r="L183" i="10"/>
  <c r="F183" i="10"/>
  <c r="L182" i="10"/>
  <c r="F182" i="10"/>
  <c r="L181" i="10"/>
  <c r="F181" i="10"/>
  <c r="L180" i="10"/>
  <c r="F180" i="10"/>
  <c r="E180" i="10" s="1"/>
  <c r="L179" i="10"/>
  <c r="F179" i="10"/>
  <c r="L178" i="10"/>
  <c r="F178" i="10"/>
  <c r="E178" i="10" s="1"/>
  <c r="L177" i="10"/>
  <c r="F177" i="10"/>
  <c r="E177" i="10" s="1"/>
  <c r="L176" i="10"/>
  <c r="F176" i="10"/>
  <c r="E176" i="10" s="1"/>
  <c r="L175" i="10"/>
  <c r="F175" i="10"/>
  <c r="L174" i="10"/>
  <c r="F174" i="10"/>
  <c r="E174" i="10" s="1"/>
  <c r="W173" i="10"/>
  <c r="U173" i="10"/>
  <c r="U164" i="10" s="1"/>
  <c r="R173" i="10"/>
  <c r="R164" i="10" s="1"/>
  <c r="Q173" i="10"/>
  <c r="Q164" i="10" s="1"/>
  <c r="O173" i="10"/>
  <c r="M173" i="10"/>
  <c r="F173" i="10"/>
  <c r="L172" i="10"/>
  <c r="F172" i="10"/>
  <c r="L171" i="10"/>
  <c r="F171" i="10"/>
  <c r="E171" i="10"/>
  <c r="L170" i="10"/>
  <c r="F170" i="10"/>
  <c r="E170" i="10" s="1"/>
  <c r="L169" i="10"/>
  <c r="F169" i="10"/>
  <c r="L168" i="10"/>
  <c r="F168" i="10"/>
  <c r="L167" i="10"/>
  <c r="F167" i="10"/>
  <c r="L166" i="10"/>
  <c r="F166" i="10"/>
  <c r="L165" i="10"/>
  <c r="F165" i="10"/>
  <c r="X164" i="10"/>
  <c r="W164" i="10"/>
  <c r="V164" i="10"/>
  <c r="T164" i="10"/>
  <c r="S164" i="10"/>
  <c r="P164" i="10"/>
  <c r="N164" i="10"/>
  <c r="M164" i="10"/>
  <c r="K164" i="10"/>
  <c r="J164" i="10"/>
  <c r="I164" i="10"/>
  <c r="H164" i="10"/>
  <c r="G164" i="10"/>
  <c r="L163" i="10"/>
  <c r="F163" i="10"/>
  <c r="L162" i="10"/>
  <c r="F162" i="10"/>
  <c r="L161" i="10"/>
  <c r="F161" i="10"/>
  <c r="L160" i="10"/>
  <c r="F160" i="10"/>
  <c r="L159" i="10"/>
  <c r="F159" i="10"/>
  <c r="L158" i="10"/>
  <c r="F158" i="10"/>
  <c r="L157" i="10"/>
  <c r="F157" i="10"/>
  <c r="L156" i="10"/>
  <c r="F156" i="10"/>
  <c r="L155" i="10"/>
  <c r="F155" i="10"/>
  <c r="L154" i="10"/>
  <c r="F154" i="10"/>
  <c r="L153" i="10"/>
  <c r="F153" i="10"/>
  <c r="L152" i="10"/>
  <c r="F152" i="10"/>
  <c r="X151" i="10"/>
  <c r="W151" i="10"/>
  <c r="V151" i="10"/>
  <c r="V150" i="10" s="1"/>
  <c r="U151" i="10"/>
  <c r="T151" i="10"/>
  <c r="S151" i="10"/>
  <c r="S150" i="10" s="1"/>
  <c r="R151" i="10"/>
  <c r="Q151" i="10"/>
  <c r="P151" i="10"/>
  <c r="O151" i="10"/>
  <c r="N151" i="10"/>
  <c r="M151" i="10"/>
  <c r="K151" i="10"/>
  <c r="J151" i="10"/>
  <c r="I151" i="10"/>
  <c r="H151" i="10"/>
  <c r="G151" i="10"/>
  <c r="G150" i="10" s="1"/>
  <c r="L149" i="10"/>
  <c r="F149" i="10"/>
  <c r="L148" i="10"/>
  <c r="F148" i="10"/>
  <c r="L147" i="10"/>
  <c r="F147" i="10"/>
  <c r="L146" i="10"/>
  <c r="F146" i="10"/>
  <c r="L145" i="10"/>
  <c r="F145" i="10"/>
  <c r="L144" i="10"/>
  <c r="F144" i="10"/>
  <c r="L143" i="10"/>
  <c r="F143" i="10"/>
  <c r="L142" i="10"/>
  <c r="F142" i="10"/>
  <c r="L141" i="10"/>
  <c r="F141" i="10"/>
  <c r="L140" i="10"/>
  <c r="F140" i="10"/>
  <c r="L139" i="10"/>
  <c r="F139" i="10"/>
  <c r="L138" i="10"/>
  <c r="F138" i="10"/>
  <c r="L137" i="10"/>
  <c r="F137" i="10"/>
  <c r="L136" i="10"/>
  <c r="F136" i="10"/>
  <c r="L135" i="10"/>
  <c r="F135" i="10"/>
  <c r="L134" i="10"/>
  <c r="F134" i="10"/>
  <c r="L133" i="10"/>
  <c r="F133" i="10"/>
  <c r="L132" i="10"/>
  <c r="F132" i="10"/>
  <c r="L131" i="10"/>
  <c r="F131" i="10"/>
  <c r="L130" i="10"/>
  <c r="F130" i="10"/>
  <c r="L129" i="10"/>
  <c r="F129" i="10"/>
  <c r="L128" i="10"/>
  <c r="F128" i="10"/>
  <c r="L127" i="10"/>
  <c r="F127" i="10"/>
  <c r="L126" i="10"/>
  <c r="F126" i="10"/>
  <c r="L125" i="10"/>
  <c r="F125" i="10"/>
  <c r="L124" i="10"/>
  <c r="F124" i="10"/>
  <c r="L123" i="10"/>
  <c r="F123" i="10"/>
  <c r="E123" i="10" s="1"/>
  <c r="L122" i="10"/>
  <c r="F122" i="10"/>
  <c r="L121" i="10"/>
  <c r="F121" i="10"/>
  <c r="E121" i="10" s="1"/>
  <c r="L120" i="10"/>
  <c r="F120" i="10"/>
  <c r="X119" i="10"/>
  <c r="W119" i="10"/>
  <c r="V119" i="10"/>
  <c r="U119" i="10"/>
  <c r="T119" i="10"/>
  <c r="S119" i="10"/>
  <c r="R119" i="10"/>
  <c r="Q119" i="10"/>
  <c r="P119" i="10"/>
  <c r="O119" i="10"/>
  <c r="N119" i="10"/>
  <c r="M119" i="10"/>
  <c r="K119" i="10"/>
  <c r="J119" i="10"/>
  <c r="I119" i="10"/>
  <c r="H119" i="10"/>
  <c r="G119" i="10"/>
  <c r="L118" i="10"/>
  <c r="F118" i="10"/>
  <c r="L117" i="10"/>
  <c r="G117" i="10"/>
  <c r="F117" i="10"/>
  <c r="E117" i="10" s="1"/>
  <c r="L116" i="10"/>
  <c r="G116" i="10"/>
  <c r="F116" i="10" s="1"/>
  <c r="E116" i="10" s="1"/>
  <c r="L115" i="10"/>
  <c r="F115" i="10"/>
  <c r="L114" i="10"/>
  <c r="F114" i="10"/>
  <c r="L113" i="10"/>
  <c r="F113" i="10"/>
  <c r="L112" i="10"/>
  <c r="G112" i="10"/>
  <c r="F112" i="10" s="1"/>
  <c r="L111" i="10"/>
  <c r="F111" i="10"/>
  <c r="L110" i="10"/>
  <c r="F110" i="10"/>
  <c r="L109" i="10"/>
  <c r="F109" i="10"/>
  <c r="L108" i="10"/>
  <c r="F108" i="10"/>
  <c r="L107" i="10"/>
  <c r="F107" i="10"/>
  <c r="L106" i="10"/>
  <c r="F106" i="10"/>
  <c r="L105" i="10"/>
  <c r="F105" i="10"/>
  <c r="L104" i="10"/>
  <c r="E104" i="10" s="1"/>
  <c r="F104" i="10"/>
  <c r="L103" i="10"/>
  <c r="F103" i="10"/>
  <c r="L102" i="10"/>
  <c r="F102" i="10"/>
  <c r="L101" i="10"/>
  <c r="F101" i="10"/>
  <c r="L100" i="10"/>
  <c r="F100" i="10"/>
  <c r="E100" i="10"/>
  <c r="L99" i="10"/>
  <c r="F99" i="10"/>
  <c r="E99" i="10" s="1"/>
  <c r="X98" i="10"/>
  <c r="W98" i="10"/>
  <c r="V98" i="10"/>
  <c r="U98" i="10"/>
  <c r="T98" i="10"/>
  <c r="S98" i="10"/>
  <c r="R98" i="10"/>
  <c r="Q98" i="10"/>
  <c r="P98" i="10"/>
  <c r="O98" i="10"/>
  <c r="N98" i="10"/>
  <c r="M98" i="10"/>
  <c r="K98" i="10"/>
  <c r="J98" i="10"/>
  <c r="I98" i="10"/>
  <c r="H98" i="10"/>
  <c r="G98" i="10"/>
  <c r="L97" i="10"/>
  <c r="F97" i="10"/>
  <c r="L96" i="10"/>
  <c r="F96" i="10"/>
  <c r="L95" i="10"/>
  <c r="E95" i="10" s="1"/>
  <c r="F95" i="10"/>
  <c r="L94" i="10"/>
  <c r="F94" i="10"/>
  <c r="L93" i="10"/>
  <c r="F93" i="10"/>
  <c r="L92" i="10"/>
  <c r="F92" i="10"/>
  <c r="L91" i="10"/>
  <c r="F91" i="10"/>
  <c r="L90" i="10"/>
  <c r="F90" i="10"/>
  <c r="L89" i="10"/>
  <c r="F89" i="10"/>
  <c r="L88" i="10"/>
  <c r="F88" i="10"/>
  <c r="L87" i="10"/>
  <c r="F87" i="10"/>
  <c r="L86" i="10"/>
  <c r="F86" i="10"/>
  <c r="L85" i="10"/>
  <c r="F85" i="10"/>
  <c r="L84" i="10"/>
  <c r="F84" i="10"/>
  <c r="L83" i="10"/>
  <c r="E83" i="10" s="1"/>
  <c r="F83" i="10"/>
  <c r="L82" i="10"/>
  <c r="F82" i="10"/>
  <c r="L81" i="10"/>
  <c r="F81" i="10"/>
  <c r="L80" i="10"/>
  <c r="F80" i="10"/>
  <c r="X79" i="10"/>
  <c r="W79" i="10"/>
  <c r="V79" i="10"/>
  <c r="U79" i="10"/>
  <c r="T79" i="10"/>
  <c r="S79" i="10"/>
  <c r="R79" i="10"/>
  <c r="Q79" i="10"/>
  <c r="P79" i="10"/>
  <c r="O79" i="10"/>
  <c r="N79" i="10"/>
  <c r="M79" i="10"/>
  <c r="K79" i="10"/>
  <c r="J79" i="10"/>
  <c r="I79" i="10"/>
  <c r="H79" i="10"/>
  <c r="G79" i="10"/>
  <c r="L78" i="10"/>
  <c r="F78" i="10"/>
  <c r="E78" i="10" s="1"/>
  <c r="L77" i="10"/>
  <c r="F77" i="10"/>
  <c r="E77" i="10" s="1"/>
  <c r="L76" i="10"/>
  <c r="F76" i="10"/>
  <c r="L75" i="10"/>
  <c r="F75" i="10"/>
  <c r="L74" i="10"/>
  <c r="F74" i="10"/>
  <c r="E74" i="10" s="1"/>
  <c r="L73" i="10"/>
  <c r="F73" i="10"/>
  <c r="L72" i="10"/>
  <c r="F72" i="10"/>
  <c r="L71" i="10"/>
  <c r="F71" i="10"/>
  <c r="L70" i="10"/>
  <c r="F70" i="10"/>
  <c r="L69" i="10"/>
  <c r="F69" i="10"/>
  <c r="L68" i="10"/>
  <c r="F68" i="10"/>
  <c r="L67" i="10"/>
  <c r="F67" i="10"/>
  <c r="L66" i="10"/>
  <c r="F66" i="10"/>
  <c r="L65" i="10"/>
  <c r="F65" i="10"/>
  <c r="L64" i="10"/>
  <c r="F64" i="10"/>
  <c r="L63" i="10"/>
  <c r="F63" i="10"/>
  <c r="L62" i="10"/>
  <c r="E62" i="10" s="1"/>
  <c r="F62" i="10"/>
  <c r="L61" i="10"/>
  <c r="F61" i="10"/>
  <c r="L60" i="10"/>
  <c r="F60" i="10"/>
  <c r="L59" i="10"/>
  <c r="F59" i="10"/>
  <c r="L58" i="10"/>
  <c r="E58" i="10" s="1"/>
  <c r="F58" i="10"/>
  <c r="L57" i="10"/>
  <c r="F57" i="10"/>
  <c r="L56" i="10"/>
  <c r="F56" i="10"/>
  <c r="L55" i="10"/>
  <c r="F55" i="10"/>
  <c r="X54" i="10"/>
  <c r="W54" i="10"/>
  <c r="V54" i="10"/>
  <c r="V53" i="10" s="1"/>
  <c r="U54" i="10"/>
  <c r="T54" i="10"/>
  <c r="S54" i="10"/>
  <c r="R54" i="10"/>
  <c r="R53" i="10" s="1"/>
  <c r="Q54" i="10"/>
  <c r="P54" i="10"/>
  <c r="O54" i="10"/>
  <c r="N54" i="10"/>
  <c r="L54" i="10" s="1"/>
  <c r="M54" i="10"/>
  <c r="K54" i="10"/>
  <c r="K53" i="10" s="1"/>
  <c r="J54" i="10"/>
  <c r="I54" i="10"/>
  <c r="H54" i="10"/>
  <c r="G54" i="10"/>
  <c r="G53" i="10" s="1"/>
  <c r="L52" i="10"/>
  <c r="F52" i="10"/>
  <c r="L51" i="10"/>
  <c r="E51" i="10" s="1"/>
  <c r="F51" i="10"/>
  <c r="L50" i="10"/>
  <c r="F50" i="10"/>
  <c r="L49" i="10"/>
  <c r="F49" i="10"/>
  <c r="X48" i="10"/>
  <c r="W48" i="10"/>
  <c r="V48" i="10"/>
  <c r="U48" i="10"/>
  <c r="T48" i="10"/>
  <c r="S48" i="10"/>
  <c r="R48" i="10"/>
  <c r="Q48" i="10"/>
  <c r="P48" i="10"/>
  <c r="O48" i="10"/>
  <c r="N48" i="10"/>
  <c r="M48" i="10"/>
  <c r="K48" i="10"/>
  <c r="J48" i="10"/>
  <c r="I48" i="10"/>
  <c r="H48" i="10"/>
  <c r="G48" i="10"/>
  <c r="F48" i="10" s="1"/>
  <c r="L47" i="10"/>
  <c r="F47" i="10"/>
  <c r="L46" i="10"/>
  <c r="F46" i="10"/>
  <c r="L45" i="10"/>
  <c r="F45" i="10"/>
  <c r="L44" i="10"/>
  <c r="F44" i="10"/>
  <c r="L43" i="10"/>
  <c r="F43" i="10"/>
  <c r="E43" i="10" s="1"/>
  <c r="L42" i="10"/>
  <c r="F42" i="10"/>
  <c r="L41" i="10"/>
  <c r="F41" i="10"/>
  <c r="L40" i="10"/>
  <c r="F40" i="10"/>
  <c r="L39" i="10"/>
  <c r="F39" i="10"/>
  <c r="L38" i="10"/>
  <c r="F38" i="10"/>
  <c r="L37" i="10"/>
  <c r="F37" i="10"/>
  <c r="X36" i="10"/>
  <c r="W36" i="10"/>
  <c r="V36" i="10"/>
  <c r="U36" i="10"/>
  <c r="T36" i="10"/>
  <c r="S36" i="10"/>
  <c r="R36" i="10"/>
  <c r="Q36" i="10"/>
  <c r="P36" i="10"/>
  <c r="O36" i="10"/>
  <c r="N36" i="10"/>
  <c r="M36" i="10"/>
  <c r="K36" i="10"/>
  <c r="J36" i="10"/>
  <c r="I36" i="10"/>
  <c r="H36" i="10"/>
  <c r="G36" i="10"/>
  <c r="L35" i="10"/>
  <c r="F35" i="10"/>
  <c r="L34" i="10"/>
  <c r="F34" i="10"/>
  <c r="L33" i="10"/>
  <c r="F33" i="10"/>
  <c r="L32" i="10"/>
  <c r="F32" i="10"/>
  <c r="L31" i="10"/>
  <c r="F31" i="10"/>
  <c r="L30" i="10"/>
  <c r="F30" i="10"/>
  <c r="L29" i="10"/>
  <c r="F29" i="10"/>
  <c r="L28" i="10"/>
  <c r="F28" i="10"/>
  <c r="L27" i="10"/>
  <c r="F27" i="10"/>
  <c r="L26" i="10"/>
  <c r="F26" i="10"/>
  <c r="L25" i="10"/>
  <c r="F25" i="10"/>
  <c r="X24" i="10"/>
  <c r="W24" i="10"/>
  <c r="V24" i="10"/>
  <c r="U24" i="10"/>
  <c r="T24" i="10"/>
  <c r="S24" i="10"/>
  <c r="R24" i="10"/>
  <c r="Q24" i="10"/>
  <c r="P24" i="10"/>
  <c r="O24" i="10"/>
  <c r="N24" i="10"/>
  <c r="M24" i="10"/>
  <c r="K24" i="10"/>
  <c r="J24" i="10"/>
  <c r="I24" i="10"/>
  <c r="H24" i="10"/>
  <c r="G24" i="10"/>
  <c r="L23" i="10"/>
  <c r="F23" i="10"/>
  <c r="L22" i="10"/>
  <c r="F22" i="10"/>
  <c r="L21" i="10"/>
  <c r="F21" i="10"/>
  <c r="E21" i="10" s="1"/>
  <c r="L20" i="10"/>
  <c r="F20" i="10"/>
  <c r="E20" i="10" s="1"/>
  <c r="L19" i="10"/>
  <c r="F19" i="10"/>
  <c r="L18" i="10"/>
  <c r="F18" i="10"/>
  <c r="E18" i="10" s="1"/>
  <c r="L17" i="10"/>
  <c r="F17" i="10"/>
  <c r="L16" i="10"/>
  <c r="F16" i="10"/>
  <c r="E16" i="10" s="1"/>
  <c r="L15" i="10"/>
  <c r="F15" i="10"/>
  <c r="L14" i="10"/>
  <c r="F14" i="10"/>
  <c r="L13" i="10"/>
  <c r="F13" i="10"/>
  <c r="L12" i="10"/>
  <c r="F12" i="10"/>
  <c r="X11" i="10"/>
  <c r="W11" i="10"/>
  <c r="V11" i="10"/>
  <c r="U11" i="10"/>
  <c r="U10" i="10" s="1"/>
  <c r="T11" i="10"/>
  <c r="S11" i="10"/>
  <c r="R11" i="10"/>
  <c r="Q11" i="10"/>
  <c r="Q10" i="10" s="1"/>
  <c r="P11" i="10"/>
  <c r="O11" i="10"/>
  <c r="N11" i="10"/>
  <c r="M11" i="10"/>
  <c r="M10" i="10" s="1"/>
  <c r="K11" i="10"/>
  <c r="J11" i="10"/>
  <c r="I11" i="10"/>
  <c r="H11" i="10"/>
  <c r="G11" i="10"/>
  <c r="K569" i="9"/>
  <c r="E569" i="9"/>
  <c r="K568" i="9"/>
  <c r="D568" i="9" s="1"/>
  <c r="E568" i="9"/>
  <c r="K567" i="9"/>
  <c r="E567" i="9"/>
  <c r="K566" i="9"/>
  <c r="E566" i="9"/>
  <c r="K565" i="9"/>
  <c r="E565" i="9"/>
  <c r="K564" i="9"/>
  <c r="E564" i="9"/>
  <c r="D564" i="9"/>
  <c r="K563" i="9"/>
  <c r="E563" i="9"/>
  <c r="K562" i="9"/>
  <c r="E562" i="9"/>
  <c r="K561" i="9"/>
  <c r="F561" i="9"/>
  <c r="E561" i="9" s="1"/>
  <c r="K559" i="9"/>
  <c r="E559" i="9"/>
  <c r="D559" i="9" s="1"/>
  <c r="K558" i="9"/>
  <c r="E558" i="9"/>
  <c r="K557" i="9"/>
  <c r="E557" i="9"/>
  <c r="K556" i="9"/>
  <c r="E556" i="9"/>
  <c r="K555" i="9"/>
  <c r="E555" i="9"/>
  <c r="W554" i="9"/>
  <c r="V554" i="9"/>
  <c r="U554" i="9"/>
  <c r="T554" i="9"/>
  <c r="S554" i="9"/>
  <c r="R554" i="9"/>
  <c r="Q554" i="9"/>
  <c r="P554" i="9"/>
  <c r="O554" i="9"/>
  <c r="N554" i="9"/>
  <c r="M554" i="9"/>
  <c r="L554" i="9"/>
  <c r="J554" i="9"/>
  <c r="I554" i="9"/>
  <c r="H554" i="9"/>
  <c r="G554" i="9"/>
  <c r="E554" i="9" s="1"/>
  <c r="F554" i="9"/>
  <c r="Q553" i="9"/>
  <c r="K553" i="9" s="1"/>
  <c r="E553" i="9"/>
  <c r="O552" i="9"/>
  <c r="K552" i="9" s="1"/>
  <c r="E552" i="9"/>
  <c r="W551" i="9"/>
  <c r="V551" i="9"/>
  <c r="U551" i="9"/>
  <c r="T551" i="9"/>
  <c r="S551" i="9"/>
  <c r="R551" i="9"/>
  <c r="P551" i="9"/>
  <c r="N551" i="9"/>
  <c r="M551" i="9"/>
  <c r="L551" i="9"/>
  <c r="J551" i="9"/>
  <c r="I551" i="9"/>
  <c r="H551" i="9"/>
  <c r="G551" i="9"/>
  <c r="F551" i="9"/>
  <c r="K550" i="9"/>
  <c r="E550" i="9"/>
  <c r="D550" i="9" s="1"/>
  <c r="K549" i="9"/>
  <c r="E549" i="9"/>
  <c r="K548" i="9"/>
  <c r="E548" i="9"/>
  <c r="L547" i="9"/>
  <c r="K547" i="9" s="1"/>
  <c r="E547" i="9"/>
  <c r="K546" i="9"/>
  <c r="E546" i="9"/>
  <c r="W545" i="9"/>
  <c r="V545" i="9"/>
  <c r="U545" i="9"/>
  <c r="T545" i="9"/>
  <c r="S545" i="9"/>
  <c r="R545" i="9"/>
  <c r="Q545" i="9"/>
  <c r="P545" i="9"/>
  <c r="O545" i="9"/>
  <c r="N545" i="9"/>
  <c r="M545" i="9"/>
  <c r="L545" i="9"/>
  <c r="J545" i="9"/>
  <c r="I545" i="9"/>
  <c r="H545" i="9"/>
  <c r="G545" i="9"/>
  <c r="F545" i="9"/>
  <c r="K544" i="9"/>
  <c r="E544" i="9"/>
  <c r="W543" i="9"/>
  <c r="V543" i="9"/>
  <c r="U543" i="9"/>
  <c r="T543" i="9"/>
  <c r="S543" i="9"/>
  <c r="R543" i="9"/>
  <c r="Q543" i="9"/>
  <c r="P543" i="9"/>
  <c r="O543" i="9"/>
  <c r="N543" i="9"/>
  <c r="M543" i="9"/>
  <c r="L543" i="9"/>
  <c r="J543" i="9"/>
  <c r="I543" i="9"/>
  <c r="H543" i="9"/>
  <c r="G543" i="9"/>
  <c r="F543" i="9"/>
  <c r="F542" i="9" s="1"/>
  <c r="W542" i="9"/>
  <c r="V542" i="9"/>
  <c r="U542" i="9"/>
  <c r="T542" i="9"/>
  <c r="S542" i="9"/>
  <c r="R542" i="9"/>
  <c r="Q542" i="9"/>
  <c r="P542" i="9"/>
  <c r="O542" i="9"/>
  <c r="N542" i="9"/>
  <c r="M542" i="9"/>
  <c r="L542" i="9"/>
  <c r="J542" i="9"/>
  <c r="I542" i="9"/>
  <c r="H542" i="9"/>
  <c r="G542" i="9"/>
  <c r="K541" i="9"/>
  <c r="E541" i="9"/>
  <c r="K540" i="9"/>
  <c r="E540" i="9"/>
  <c r="W539" i="9"/>
  <c r="V539" i="9"/>
  <c r="U539" i="9"/>
  <c r="T539" i="9"/>
  <c r="S539" i="9"/>
  <c r="R539" i="9"/>
  <c r="Q539" i="9"/>
  <c r="P539" i="9"/>
  <c r="O539" i="9"/>
  <c r="N539" i="9"/>
  <c r="M539" i="9"/>
  <c r="L539" i="9"/>
  <c r="J539" i="9"/>
  <c r="I539" i="9"/>
  <c r="H539" i="9"/>
  <c r="G539" i="9"/>
  <c r="F539" i="9"/>
  <c r="P538" i="9"/>
  <c r="L538" i="9"/>
  <c r="E538" i="9"/>
  <c r="V537" i="9"/>
  <c r="L537" i="9"/>
  <c r="E537" i="9"/>
  <c r="K536" i="9"/>
  <c r="E536" i="9"/>
  <c r="W535" i="9"/>
  <c r="U535" i="9"/>
  <c r="T535" i="9"/>
  <c r="S535" i="9"/>
  <c r="R535" i="9"/>
  <c r="Q535" i="9"/>
  <c r="P535" i="9"/>
  <c r="O535" i="9"/>
  <c r="N535" i="9"/>
  <c r="M535" i="9"/>
  <c r="J535" i="9"/>
  <c r="I535" i="9"/>
  <c r="H535" i="9"/>
  <c r="G535" i="9"/>
  <c r="F535" i="9"/>
  <c r="K534" i="9"/>
  <c r="E534" i="9"/>
  <c r="K533" i="9"/>
  <c r="E533" i="9"/>
  <c r="K532" i="9"/>
  <c r="D532" i="9" s="1"/>
  <c r="E532" i="9"/>
  <c r="K531" i="9"/>
  <c r="E531" i="9"/>
  <c r="K530" i="9"/>
  <c r="E530" i="9"/>
  <c r="K529" i="9"/>
  <c r="E529" i="9"/>
  <c r="K528" i="9"/>
  <c r="E528" i="9"/>
  <c r="D528" i="9"/>
  <c r="K527" i="9"/>
  <c r="E527" i="9"/>
  <c r="W526" i="9"/>
  <c r="V526" i="9"/>
  <c r="U526" i="9"/>
  <c r="T526" i="9"/>
  <c r="S526" i="9"/>
  <c r="R526" i="9"/>
  <c r="Q526" i="9"/>
  <c r="P526" i="9"/>
  <c r="O526" i="9"/>
  <c r="N526" i="9"/>
  <c r="M526" i="9"/>
  <c r="L526" i="9"/>
  <c r="J526" i="9"/>
  <c r="I526" i="9"/>
  <c r="H526" i="9"/>
  <c r="G526" i="9"/>
  <c r="F526" i="9"/>
  <c r="K525" i="9"/>
  <c r="D525" i="9" s="1"/>
  <c r="E525" i="9"/>
  <c r="K524" i="9"/>
  <c r="E524" i="9"/>
  <c r="K523" i="9"/>
  <c r="D523" i="9" s="1"/>
  <c r="E523" i="9"/>
  <c r="K522" i="9"/>
  <c r="E522" i="9"/>
  <c r="K521" i="9"/>
  <c r="E521" i="9"/>
  <c r="K520" i="9"/>
  <c r="E520" i="9"/>
  <c r="K519" i="9"/>
  <c r="E519" i="9"/>
  <c r="D519" i="9"/>
  <c r="K518" i="9"/>
  <c r="E518" i="9"/>
  <c r="K517" i="9"/>
  <c r="E517" i="9"/>
  <c r="K516" i="9"/>
  <c r="E516" i="9"/>
  <c r="K515" i="9"/>
  <c r="E515" i="9"/>
  <c r="D515" i="9" s="1"/>
  <c r="K514" i="9"/>
  <c r="E514" i="9"/>
  <c r="D514" i="9" s="1"/>
  <c r="K513" i="9"/>
  <c r="E513" i="9"/>
  <c r="K512" i="9"/>
  <c r="E512" i="9"/>
  <c r="D512" i="9" s="1"/>
  <c r="K511" i="9"/>
  <c r="F511" i="9"/>
  <c r="E511" i="9" s="1"/>
  <c r="D511" i="9" s="1"/>
  <c r="K510" i="9"/>
  <c r="F510" i="9"/>
  <c r="E510" i="9" s="1"/>
  <c r="D510" i="9" s="1"/>
  <c r="W509" i="9"/>
  <c r="V509" i="9"/>
  <c r="U509" i="9"/>
  <c r="T509" i="9"/>
  <c r="S509" i="9"/>
  <c r="R509" i="9"/>
  <c r="Q509" i="9"/>
  <c r="Q508" i="9" s="1"/>
  <c r="P509" i="9"/>
  <c r="O509" i="9"/>
  <c r="N509" i="9"/>
  <c r="M509" i="9"/>
  <c r="L509" i="9"/>
  <c r="J509" i="9"/>
  <c r="I509" i="9"/>
  <c r="H509" i="9"/>
  <c r="G509" i="9"/>
  <c r="U508" i="9"/>
  <c r="H508" i="9"/>
  <c r="K507" i="9"/>
  <c r="E507" i="9"/>
  <c r="K506" i="9"/>
  <c r="E506" i="9"/>
  <c r="K505" i="9"/>
  <c r="E505" i="9"/>
  <c r="K504" i="9"/>
  <c r="E504" i="9"/>
  <c r="K503" i="9"/>
  <c r="E503" i="9"/>
  <c r="D503" i="9" s="1"/>
  <c r="V502" i="9"/>
  <c r="R502" i="9"/>
  <c r="E502" i="9"/>
  <c r="U501" i="9"/>
  <c r="O501" i="9"/>
  <c r="K501" i="9" s="1"/>
  <c r="D501" i="9" s="1"/>
  <c r="E501" i="9"/>
  <c r="K500" i="9"/>
  <c r="E500" i="9"/>
  <c r="K499" i="9"/>
  <c r="E499" i="9"/>
  <c r="D499" i="9"/>
  <c r="V498" i="9"/>
  <c r="U498" i="9"/>
  <c r="E498" i="9"/>
  <c r="W497" i="9"/>
  <c r="T497" i="9"/>
  <c r="S497" i="9"/>
  <c r="Q497" i="9"/>
  <c r="P497" i="9"/>
  <c r="N497" i="9"/>
  <c r="M497" i="9"/>
  <c r="L497" i="9"/>
  <c r="J497" i="9"/>
  <c r="I497" i="9"/>
  <c r="H497" i="9"/>
  <c r="G497" i="9"/>
  <c r="F497" i="9"/>
  <c r="E497" i="9" s="1"/>
  <c r="K496" i="9"/>
  <c r="E496" i="9"/>
  <c r="K495" i="9"/>
  <c r="E495" i="9"/>
  <c r="K494" i="9"/>
  <c r="E494" i="9"/>
  <c r="K493" i="9"/>
  <c r="E493" i="9"/>
  <c r="K492" i="9"/>
  <c r="E492" i="9"/>
  <c r="V491" i="9"/>
  <c r="K491" i="9" s="1"/>
  <c r="D491" i="9" s="1"/>
  <c r="E491" i="9"/>
  <c r="K490" i="9"/>
  <c r="E490" i="9"/>
  <c r="K489" i="9"/>
  <c r="E489" i="9"/>
  <c r="V488" i="9"/>
  <c r="K488" i="9" s="1"/>
  <c r="D488" i="9" s="1"/>
  <c r="E488" i="9"/>
  <c r="V487" i="9"/>
  <c r="O487" i="9"/>
  <c r="E487" i="9"/>
  <c r="W486" i="9"/>
  <c r="V486" i="9"/>
  <c r="U486" i="9"/>
  <c r="T486" i="9"/>
  <c r="S486" i="9"/>
  <c r="R486" i="9"/>
  <c r="Q486" i="9"/>
  <c r="P486" i="9"/>
  <c r="N486" i="9"/>
  <c r="M486" i="9"/>
  <c r="L486" i="9"/>
  <c r="J486" i="9"/>
  <c r="I486" i="9"/>
  <c r="H486" i="9"/>
  <c r="G486" i="9"/>
  <c r="F486" i="9"/>
  <c r="K485" i="9"/>
  <c r="E485" i="9"/>
  <c r="K484" i="9"/>
  <c r="E484" i="9"/>
  <c r="K483" i="9"/>
  <c r="E483" i="9"/>
  <c r="D483" i="9" s="1"/>
  <c r="K482" i="9"/>
  <c r="E482" i="9"/>
  <c r="D482" i="9" s="1"/>
  <c r="K481" i="9"/>
  <c r="E481" i="9"/>
  <c r="K480" i="9"/>
  <c r="E480" i="9"/>
  <c r="D480" i="9" s="1"/>
  <c r="W479" i="9"/>
  <c r="V479" i="9"/>
  <c r="U479" i="9"/>
  <c r="T479" i="9"/>
  <c r="S479" i="9"/>
  <c r="R479" i="9"/>
  <c r="Q479" i="9"/>
  <c r="P479" i="9"/>
  <c r="O479" i="9"/>
  <c r="N479" i="9"/>
  <c r="M479" i="9"/>
  <c r="L479" i="9"/>
  <c r="J479" i="9"/>
  <c r="I479" i="9"/>
  <c r="H479" i="9"/>
  <c r="G479" i="9"/>
  <c r="F479" i="9"/>
  <c r="K478" i="9"/>
  <c r="E478" i="9"/>
  <c r="D478" i="9"/>
  <c r="K477" i="9"/>
  <c r="E477" i="9"/>
  <c r="K476" i="9"/>
  <c r="E476" i="9"/>
  <c r="K475" i="9"/>
  <c r="E475" i="9"/>
  <c r="V474" i="9"/>
  <c r="K474" i="9" s="1"/>
  <c r="E474" i="9"/>
  <c r="D474" i="9" s="1"/>
  <c r="K473" i="9"/>
  <c r="E473" i="9"/>
  <c r="V472" i="9"/>
  <c r="K472" i="9" s="1"/>
  <c r="E472" i="9"/>
  <c r="V471" i="9"/>
  <c r="U471" i="9"/>
  <c r="U466" i="9" s="1"/>
  <c r="E471" i="9"/>
  <c r="K470" i="9"/>
  <c r="E470" i="9"/>
  <c r="K469" i="9"/>
  <c r="E469" i="9"/>
  <c r="K468" i="9"/>
  <c r="D468" i="9" s="1"/>
  <c r="E468" i="9"/>
  <c r="K467" i="9"/>
  <c r="E467" i="9"/>
  <c r="W466" i="9"/>
  <c r="T466" i="9"/>
  <c r="S466" i="9"/>
  <c r="R466" i="9"/>
  <c r="Q466" i="9"/>
  <c r="P466" i="9"/>
  <c r="O466" i="9"/>
  <c r="N466" i="9"/>
  <c r="M466" i="9"/>
  <c r="L466" i="9"/>
  <c r="J466" i="9"/>
  <c r="I466" i="9"/>
  <c r="H466" i="9"/>
  <c r="G466" i="9"/>
  <c r="F466" i="9"/>
  <c r="E466" i="9" s="1"/>
  <c r="K465" i="9"/>
  <c r="E465" i="9"/>
  <c r="K464" i="9"/>
  <c r="E464" i="9"/>
  <c r="K463" i="9"/>
  <c r="E463" i="9"/>
  <c r="W462" i="9"/>
  <c r="V462" i="9"/>
  <c r="U462" i="9"/>
  <c r="T462" i="9"/>
  <c r="S462" i="9"/>
  <c r="R462" i="9"/>
  <c r="Q462" i="9"/>
  <c r="P462" i="9"/>
  <c r="O462" i="9"/>
  <c r="N462" i="9"/>
  <c r="M462" i="9"/>
  <c r="L462" i="9"/>
  <c r="J462" i="9"/>
  <c r="I462" i="9"/>
  <c r="H462" i="9"/>
  <c r="G462" i="9"/>
  <c r="F462" i="9"/>
  <c r="K461" i="9"/>
  <c r="E461" i="9"/>
  <c r="W460" i="9"/>
  <c r="V460" i="9"/>
  <c r="U460" i="9"/>
  <c r="T460" i="9"/>
  <c r="S460" i="9"/>
  <c r="R460" i="9"/>
  <c r="Q460" i="9"/>
  <c r="P460" i="9"/>
  <c r="O460" i="9"/>
  <c r="N460" i="9"/>
  <c r="M460" i="9"/>
  <c r="L460" i="9"/>
  <c r="J460" i="9"/>
  <c r="I460" i="9"/>
  <c r="H460" i="9"/>
  <c r="G460" i="9"/>
  <c r="F460" i="9"/>
  <c r="E460" i="9" s="1"/>
  <c r="K459" i="9"/>
  <c r="E459" i="9"/>
  <c r="K458" i="9"/>
  <c r="E458" i="9"/>
  <c r="K457" i="9"/>
  <c r="E457" i="9"/>
  <c r="K456" i="9"/>
  <c r="E456" i="9"/>
  <c r="K455" i="9"/>
  <c r="E455" i="9"/>
  <c r="D455" i="9"/>
  <c r="K454" i="9"/>
  <c r="E454" i="9"/>
  <c r="K453" i="9"/>
  <c r="E453" i="9"/>
  <c r="K452" i="9"/>
  <c r="E452" i="9"/>
  <c r="K451" i="9"/>
  <c r="E451" i="9"/>
  <c r="K450" i="9"/>
  <c r="E450" i="9"/>
  <c r="D450" i="9" s="1"/>
  <c r="K449" i="9"/>
  <c r="E449" i="9"/>
  <c r="W448" i="9"/>
  <c r="V448" i="9"/>
  <c r="U448" i="9"/>
  <c r="T448" i="9"/>
  <c r="S448" i="9"/>
  <c r="R448" i="9"/>
  <c r="Q448" i="9"/>
  <c r="P448" i="9"/>
  <c r="O448" i="9"/>
  <c r="N448" i="9"/>
  <c r="M448" i="9"/>
  <c r="L448" i="9"/>
  <c r="J448" i="9"/>
  <c r="I448" i="9"/>
  <c r="H448" i="9"/>
  <c r="G448" i="9"/>
  <c r="F448" i="9"/>
  <c r="K447" i="9"/>
  <c r="E447" i="9"/>
  <c r="K446" i="9"/>
  <c r="E446" i="9"/>
  <c r="K445" i="9"/>
  <c r="E445" i="9"/>
  <c r="K444" i="9"/>
  <c r="E444" i="9"/>
  <c r="W443" i="9"/>
  <c r="O443" i="9"/>
  <c r="O415" i="9" s="1"/>
  <c r="E443" i="9"/>
  <c r="K442" i="9"/>
  <c r="E442" i="9"/>
  <c r="K441" i="9"/>
  <c r="E441" i="9"/>
  <c r="K440" i="9"/>
  <c r="E440" i="9"/>
  <c r="K439" i="9"/>
  <c r="E439" i="9"/>
  <c r="K438" i="9"/>
  <c r="E438" i="9"/>
  <c r="K437" i="9"/>
  <c r="E437" i="9"/>
  <c r="K436" i="9"/>
  <c r="E436" i="9"/>
  <c r="D436" i="9" s="1"/>
  <c r="K435" i="9"/>
  <c r="E435" i="9"/>
  <c r="D435" i="9" s="1"/>
  <c r="K434" i="9"/>
  <c r="E434" i="9"/>
  <c r="K433" i="9"/>
  <c r="E433" i="9"/>
  <c r="D433" i="9" s="1"/>
  <c r="K432" i="9"/>
  <c r="E432" i="9"/>
  <c r="K431" i="9"/>
  <c r="E431" i="9"/>
  <c r="K430" i="9"/>
  <c r="E430" i="9"/>
  <c r="K429" i="9"/>
  <c r="E429" i="9"/>
  <c r="W428" i="9"/>
  <c r="S428" i="9"/>
  <c r="K428" i="9" s="1"/>
  <c r="D428" i="9" s="1"/>
  <c r="E428" i="9"/>
  <c r="L427" i="9"/>
  <c r="K427" i="9" s="1"/>
  <c r="E427" i="9"/>
  <c r="K426" i="9"/>
  <c r="E426" i="9"/>
  <c r="K425" i="9"/>
  <c r="E425" i="9"/>
  <c r="K424" i="9"/>
  <c r="E424" i="9"/>
  <c r="K423" i="9"/>
  <c r="D423" i="9" s="1"/>
  <c r="E423" i="9"/>
  <c r="K422" i="9"/>
  <c r="E422" i="9"/>
  <c r="K421" i="9"/>
  <c r="E421" i="9"/>
  <c r="K420" i="9"/>
  <c r="E420" i="9"/>
  <c r="K419" i="9"/>
  <c r="D419" i="9" s="1"/>
  <c r="E419" i="9"/>
  <c r="K418" i="9"/>
  <c r="E418" i="9"/>
  <c r="K417" i="9"/>
  <c r="D417" i="9" s="1"/>
  <c r="E417" i="9"/>
  <c r="K416" i="9"/>
  <c r="E416" i="9"/>
  <c r="V415" i="9"/>
  <c r="U415" i="9"/>
  <c r="T415" i="9"/>
  <c r="S415" i="9"/>
  <c r="R415" i="9"/>
  <c r="Q415" i="9"/>
  <c r="P415" i="9"/>
  <c r="N415" i="9"/>
  <c r="M415" i="9"/>
  <c r="L415" i="9"/>
  <c r="J415" i="9"/>
  <c r="I415" i="9"/>
  <c r="H415" i="9"/>
  <c r="G415" i="9"/>
  <c r="F415" i="9"/>
  <c r="K414" i="9"/>
  <c r="E414" i="9"/>
  <c r="K413" i="9"/>
  <c r="E413" i="9"/>
  <c r="D413" i="9" s="1"/>
  <c r="K412" i="9"/>
  <c r="E412" i="9"/>
  <c r="D412" i="9" s="1"/>
  <c r="K411" i="9"/>
  <c r="E411" i="9"/>
  <c r="D411" i="9" s="1"/>
  <c r="K410" i="9"/>
  <c r="F410" i="9"/>
  <c r="E410" i="9" s="1"/>
  <c r="K409" i="9"/>
  <c r="F409" i="9"/>
  <c r="E409" i="9" s="1"/>
  <c r="K408" i="9"/>
  <c r="E408" i="9"/>
  <c r="K407" i="9"/>
  <c r="F407" i="9"/>
  <c r="K406" i="9"/>
  <c r="E406" i="9"/>
  <c r="W405" i="9"/>
  <c r="V405" i="9"/>
  <c r="U405" i="9"/>
  <c r="T405" i="9"/>
  <c r="S405" i="9"/>
  <c r="R405" i="9"/>
  <c r="Q405" i="9"/>
  <c r="P405" i="9"/>
  <c r="O405" i="9"/>
  <c r="N405" i="9"/>
  <c r="M405" i="9"/>
  <c r="L405" i="9"/>
  <c r="J405" i="9"/>
  <c r="I405" i="9"/>
  <c r="H405" i="9"/>
  <c r="G405" i="9"/>
  <c r="K404" i="9"/>
  <c r="E404" i="9"/>
  <c r="K403" i="9"/>
  <c r="E403" i="9"/>
  <c r="K402" i="9"/>
  <c r="E402" i="9"/>
  <c r="K401" i="9"/>
  <c r="E401" i="9"/>
  <c r="K400" i="9"/>
  <c r="E400" i="9"/>
  <c r="D400" i="9" s="1"/>
  <c r="K399" i="9"/>
  <c r="E399" i="9"/>
  <c r="K398" i="9"/>
  <c r="E398" i="9"/>
  <c r="K397" i="9"/>
  <c r="E397" i="9"/>
  <c r="K396" i="9"/>
  <c r="E396" i="9"/>
  <c r="W395" i="9"/>
  <c r="V395" i="9"/>
  <c r="U395" i="9"/>
  <c r="T395" i="9"/>
  <c r="S395" i="9"/>
  <c r="R395" i="9"/>
  <c r="Q395" i="9"/>
  <c r="P395" i="9"/>
  <c r="O395" i="9"/>
  <c r="N395" i="9"/>
  <c r="M395" i="9"/>
  <c r="L395" i="9"/>
  <c r="J395" i="9"/>
  <c r="I395" i="9"/>
  <c r="H395" i="9"/>
  <c r="G395" i="9"/>
  <c r="F395" i="9"/>
  <c r="K394" i="9"/>
  <c r="E394" i="9"/>
  <c r="K393" i="9"/>
  <c r="D393" i="9" s="1"/>
  <c r="E393" i="9"/>
  <c r="K392" i="9"/>
  <c r="E392" i="9"/>
  <c r="K391" i="9"/>
  <c r="D391" i="9" s="1"/>
  <c r="E391" i="9"/>
  <c r="K390" i="9"/>
  <c r="E390" i="9"/>
  <c r="W389" i="9"/>
  <c r="W388" i="9" s="1"/>
  <c r="V389" i="9"/>
  <c r="U389" i="9"/>
  <c r="T389" i="9"/>
  <c r="S389" i="9"/>
  <c r="R389" i="9"/>
  <c r="Q389" i="9"/>
  <c r="P389" i="9"/>
  <c r="O389" i="9"/>
  <c r="N389" i="9"/>
  <c r="M389" i="9"/>
  <c r="L389" i="9"/>
  <c r="J389" i="9"/>
  <c r="I389" i="9"/>
  <c r="H389" i="9"/>
  <c r="H388" i="9" s="1"/>
  <c r="G389" i="9"/>
  <c r="F389" i="9"/>
  <c r="S388" i="9"/>
  <c r="K387" i="9"/>
  <c r="E387" i="9"/>
  <c r="K386" i="9"/>
  <c r="E386" i="9"/>
  <c r="K385" i="9"/>
  <c r="E385" i="9"/>
  <c r="D385" i="9"/>
  <c r="K384" i="9"/>
  <c r="E384" i="9"/>
  <c r="K383" i="9"/>
  <c r="E383" i="9"/>
  <c r="W382" i="9"/>
  <c r="V382" i="9"/>
  <c r="U382" i="9"/>
  <c r="T382" i="9"/>
  <c r="S382" i="9"/>
  <c r="R382" i="9"/>
  <c r="Q382" i="9"/>
  <c r="P382" i="9"/>
  <c r="O382" i="9"/>
  <c r="N382" i="9"/>
  <c r="M382" i="9"/>
  <c r="L382" i="9"/>
  <c r="K382" i="9" s="1"/>
  <c r="J382" i="9"/>
  <c r="I382" i="9"/>
  <c r="H382" i="9"/>
  <c r="G382" i="9"/>
  <c r="F382" i="9"/>
  <c r="K381" i="9"/>
  <c r="E381" i="9"/>
  <c r="K380" i="9"/>
  <c r="E380" i="9"/>
  <c r="K379" i="9"/>
  <c r="E379" i="9"/>
  <c r="K378" i="9"/>
  <c r="D378" i="9" s="1"/>
  <c r="E378" i="9"/>
  <c r="K377" i="9"/>
  <c r="E377" i="9"/>
  <c r="K376" i="9"/>
  <c r="E376" i="9"/>
  <c r="K375" i="9"/>
  <c r="E375" i="9"/>
  <c r="K374" i="9"/>
  <c r="D374" i="9" s="1"/>
  <c r="E374" i="9"/>
  <c r="K373" i="9"/>
  <c r="E373" i="9"/>
  <c r="K372" i="9"/>
  <c r="E372" i="9"/>
  <c r="D372" i="9"/>
  <c r="K371" i="9"/>
  <c r="E371" i="9"/>
  <c r="K370" i="9"/>
  <c r="E370" i="9"/>
  <c r="K369" i="9"/>
  <c r="E369" i="9"/>
  <c r="K368" i="9"/>
  <c r="E368" i="9"/>
  <c r="D368" i="9" s="1"/>
  <c r="K367" i="9"/>
  <c r="E367" i="9"/>
  <c r="K366" i="9"/>
  <c r="E366" i="9"/>
  <c r="K365" i="9"/>
  <c r="E365" i="9"/>
  <c r="K364" i="9"/>
  <c r="E364" i="9"/>
  <c r="D364" i="9" s="1"/>
  <c r="K363" i="9"/>
  <c r="E363" i="9"/>
  <c r="D363" i="9" s="1"/>
  <c r="K362" i="9"/>
  <c r="E362" i="9"/>
  <c r="K361" i="9"/>
  <c r="E361" i="9"/>
  <c r="D361" i="9" s="1"/>
  <c r="W360" i="9"/>
  <c r="W359" i="9" s="1"/>
  <c r="V360" i="9"/>
  <c r="U360" i="9"/>
  <c r="U359" i="9" s="1"/>
  <c r="T360" i="9"/>
  <c r="S360" i="9"/>
  <c r="R360" i="9"/>
  <c r="Q360" i="9"/>
  <c r="Q359" i="9" s="1"/>
  <c r="P360" i="9"/>
  <c r="P359" i="9" s="1"/>
  <c r="O360" i="9"/>
  <c r="O359" i="9" s="1"/>
  <c r="N360" i="9"/>
  <c r="M360" i="9"/>
  <c r="L360" i="9"/>
  <c r="L359" i="9" s="1"/>
  <c r="J360" i="9"/>
  <c r="I360" i="9"/>
  <c r="I359" i="9" s="1"/>
  <c r="H360" i="9"/>
  <c r="G360" i="9"/>
  <c r="G359" i="9" s="1"/>
  <c r="F360" i="9"/>
  <c r="T359" i="9"/>
  <c r="S359" i="9"/>
  <c r="M359" i="9"/>
  <c r="H359" i="9"/>
  <c r="K358" i="9"/>
  <c r="E358" i="9"/>
  <c r="K357" i="9"/>
  <c r="E357" i="9"/>
  <c r="Q356" i="9"/>
  <c r="K356" i="9" s="1"/>
  <c r="E356" i="9"/>
  <c r="K355" i="9"/>
  <c r="E355" i="9"/>
  <c r="K354" i="9"/>
  <c r="E354" i="9"/>
  <c r="K353" i="9"/>
  <c r="D353" i="9" s="1"/>
  <c r="E353" i="9"/>
  <c r="K352" i="9"/>
  <c r="E352" i="9"/>
  <c r="K351" i="9"/>
  <c r="E351" i="9"/>
  <c r="K350" i="9"/>
  <c r="E350" i="9"/>
  <c r="K349" i="9"/>
  <c r="E349" i="9"/>
  <c r="K348" i="9"/>
  <c r="E348" i="9"/>
  <c r="K347" i="9"/>
  <c r="D347" i="9" s="1"/>
  <c r="E347" i="9"/>
  <c r="K346" i="9"/>
  <c r="E346" i="9"/>
  <c r="K345" i="9"/>
  <c r="E345" i="9"/>
  <c r="K344" i="9"/>
  <c r="E344" i="9"/>
  <c r="K343" i="9"/>
  <c r="E343" i="9"/>
  <c r="K342" i="9"/>
  <c r="E342" i="9"/>
  <c r="K341" i="9"/>
  <c r="E341" i="9"/>
  <c r="K340" i="9"/>
  <c r="D340" i="9" s="1"/>
  <c r="E340" i="9"/>
  <c r="K339" i="9"/>
  <c r="E339" i="9"/>
  <c r="K338" i="9"/>
  <c r="E338" i="9"/>
  <c r="K337" i="9"/>
  <c r="E337" i="9"/>
  <c r="K336" i="9"/>
  <c r="D336" i="9" s="1"/>
  <c r="E336" i="9"/>
  <c r="K335" i="9"/>
  <c r="E335" i="9"/>
  <c r="K334" i="9"/>
  <c r="D334" i="9" s="1"/>
  <c r="E334" i="9"/>
  <c r="K333" i="9"/>
  <c r="E333" i="9"/>
  <c r="K332" i="9"/>
  <c r="E332" i="9"/>
  <c r="W331" i="9"/>
  <c r="V331" i="9"/>
  <c r="U331" i="9"/>
  <c r="T331" i="9"/>
  <c r="S331" i="9"/>
  <c r="R331" i="9"/>
  <c r="P331" i="9"/>
  <c r="O331" i="9"/>
  <c r="N331" i="9"/>
  <c r="M331" i="9"/>
  <c r="L331" i="9"/>
  <c r="J331" i="9"/>
  <c r="I331" i="9"/>
  <c r="H331" i="9"/>
  <c r="G331" i="9"/>
  <c r="F331" i="9"/>
  <c r="K330" i="9"/>
  <c r="E330" i="9"/>
  <c r="K329" i="9"/>
  <c r="E329" i="9"/>
  <c r="D329" i="9"/>
  <c r="K328" i="9"/>
  <c r="E328" i="9"/>
  <c r="K327" i="9"/>
  <c r="E327" i="9"/>
  <c r="K326" i="9"/>
  <c r="E326" i="9"/>
  <c r="K325" i="9"/>
  <c r="J325" i="9"/>
  <c r="E325" i="9" s="1"/>
  <c r="D325" i="9" s="1"/>
  <c r="K324" i="9"/>
  <c r="E324" i="9"/>
  <c r="D324" i="9" s="1"/>
  <c r="K323" i="9"/>
  <c r="E323" i="9"/>
  <c r="K322" i="9"/>
  <c r="E322" i="9"/>
  <c r="K321" i="9"/>
  <c r="E321" i="9"/>
  <c r="K320" i="9"/>
  <c r="J320" i="9"/>
  <c r="E320" i="9" s="1"/>
  <c r="W319" i="9"/>
  <c r="V319" i="9"/>
  <c r="U319" i="9"/>
  <c r="T319" i="9"/>
  <c r="S319" i="9"/>
  <c r="R319" i="9"/>
  <c r="Q319" i="9"/>
  <c r="P319" i="9"/>
  <c r="O319" i="9"/>
  <c r="N319" i="9"/>
  <c r="M319" i="9"/>
  <c r="L319" i="9"/>
  <c r="I319" i="9"/>
  <c r="H319" i="9"/>
  <c r="G319" i="9"/>
  <c r="F319" i="9"/>
  <c r="K318" i="9"/>
  <c r="E318" i="9"/>
  <c r="K317" i="9"/>
  <c r="E317" i="9"/>
  <c r="K316" i="9"/>
  <c r="E316" i="9"/>
  <c r="K315" i="9"/>
  <c r="E315" i="9"/>
  <c r="K314" i="9"/>
  <c r="D314" i="9" s="1"/>
  <c r="E314" i="9"/>
  <c r="K313" i="9"/>
  <c r="E313" i="9"/>
  <c r="K312" i="9"/>
  <c r="E312" i="9"/>
  <c r="K311" i="9"/>
  <c r="E311" i="9"/>
  <c r="K310" i="9"/>
  <c r="E310" i="9"/>
  <c r="D310" i="9"/>
  <c r="K309" i="9"/>
  <c r="E309" i="9"/>
  <c r="K308" i="9"/>
  <c r="E308" i="9"/>
  <c r="D308" i="9" s="1"/>
  <c r="K307" i="9"/>
  <c r="E307" i="9"/>
  <c r="K306" i="9"/>
  <c r="E306" i="9"/>
  <c r="D306" i="9" s="1"/>
  <c r="K305" i="9"/>
  <c r="E305" i="9"/>
  <c r="K304" i="9"/>
  <c r="E304" i="9"/>
  <c r="K303" i="9"/>
  <c r="E303" i="9"/>
  <c r="K302" i="9"/>
  <c r="E302" i="9"/>
  <c r="D302" i="9" s="1"/>
  <c r="K301" i="9"/>
  <c r="E301" i="9"/>
  <c r="D301" i="9" s="1"/>
  <c r="K300" i="9"/>
  <c r="E300" i="9"/>
  <c r="W299" i="9"/>
  <c r="V299" i="9"/>
  <c r="U299" i="9"/>
  <c r="T299" i="9"/>
  <c r="S299" i="9"/>
  <c r="R299" i="9"/>
  <c r="R266" i="9" s="1"/>
  <c r="Q299" i="9"/>
  <c r="P299" i="9"/>
  <c r="O299" i="9"/>
  <c r="N299" i="9"/>
  <c r="M299" i="9"/>
  <c r="L299" i="9"/>
  <c r="E299" i="9"/>
  <c r="K298" i="9"/>
  <c r="E298" i="9"/>
  <c r="L297" i="9"/>
  <c r="K297" i="9" s="1"/>
  <c r="E297" i="9"/>
  <c r="K296" i="9"/>
  <c r="D296" i="9" s="1"/>
  <c r="E296" i="9"/>
  <c r="K295" i="9"/>
  <c r="E295" i="9"/>
  <c r="K294" i="9"/>
  <c r="E294" i="9"/>
  <c r="K293" i="9"/>
  <c r="E293" i="9"/>
  <c r="K292" i="9"/>
  <c r="D292" i="9" s="1"/>
  <c r="E292" i="9"/>
  <c r="K291" i="9"/>
  <c r="E291" i="9"/>
  <c r="K290" i="9"/>
  <c r="E290" i="9"/>
  <c r="K289" i="9"/>
  <c r="E289" i="9"/>
  <c r="K288" i="9"/>
  <c r="E288" i="9"/>
  <c r="K287" i="9"/>
  <c r="E287" i="9"/>
  <c r="K286" i="9"/>
  <c r="E286" i="9"/>
  <c r="K285" i="9"/>
  <c r="E285" i="9"/>
  <c r="P284" i="9"/>
  <c r="K284" i="9" s="1"/>
  <c r="L284" i="9"/>
  <c r="E284" i="9"/>
  <c r="K283" i="9"/>
  <c r="E283" i="9"/>
  <c r="D283" i="9" s="1"/>
  <c r="K282" i="9"/>
  <c r="E282" i="9"/>
  <c r="K281" i="9"/>
  <c r="E281" i="9"/>
  <c r="K280" i="9"/>
  <c r="E280" i="9"/>
  <c r="K279" i="9"/>
  <c r="E279" i="9"/>
  <c r="D279" i="9" s="1"/>
  <c r="K278" i="9"/>
  <c r="E278" i="9"/>
  <c r="K277" i="9"/>
  <c r="E277" i="9"/>
  <c r="K276" i="9"/>
  <c r="E276" i="9"/>
  <c r="D276" i="9" s="1"/>
  <c r="K275" i="9"/>
  <c r="E275" i="9"/>
  <c r="D275" i="9" s="1"/>
  <c r="V274" i="9"/>
  <c r="K274" i="9" s="1"/>
  <c r="E274" i="9"/>
  <c r="K273" i="9"/>
  <c r="E273" i="9"/>
  <c r="V272" i="9"/>
  <c r="N272" i="9"/>
  <c r="L272" i="9"/>
  <c r="E272" i="9"/>
  <c r="K271" i="9"/>
  <c r="E271" i="9"/>
  <c r="L270" i="9"/>
  <c r="K270" i="9" s="1"/>
  <c r="E270" i="9"/>
  <c r="N269" i="9"/>
  <c r="K269" i="9" s="1"/>
  <c r="E269" i="9"/>
  <c r="K268" i="9"/>
  <c r="E268" i="9"/>
  <c r="D268" i="9" s="1"/>
  <c r="K267" i="9"/>
  <c r="E267" i="9"/>
  <c r="D267" i="9" s="1"/>
  <c r="W266" i="9"/>
  <c r="U266" i="9"/>
  <c r="T266" i="9"/>
  <c r="S266" i="9"/>
  <c r="Q266" i="9"/>
  <c r="O266" i="9"/>
  <c r="M266" i="9"/>
  <c r="L266" i="9"/>
  <c r="J266" i="9"/>
  <c r="I266" i="9"/>
  <c r="H266" i="9"/>
  <c r="G266" i="9"/>
  <c r="F266" i="9"/>
  <c r="K265" i="9"/>
  <c r="E265" i="9"/>
  <c r="K264" i="9"/>
  <c r="E264" i="9"/>
  <c r="K263" i="9"/>
  <c r="E263" i="9"/>
  <c r="D263" i="9"/>
  <c r="K262" i="9"/>
  <c r="E262" i="9"/>
  <c r="D262" i="9" s="1"/>
  <c r="K261" i="9"/>
  <c r="E261" i="9"/>
  <c r="D261" i="9" s="1"/>
  <c r="K260" i="9"/>
  <c r="E260" i="9"/>
  <c r="D260" i="9" s="1"/>
  <c r="K259" i="9"/>
  <c r="E259" i="9"/>
  <c r="K258" i="9"/>
  <c r="E258" i="9"/>
  <c r="K257" i="9"/>
  <c r="E257" i="9"/>
  <c r="K256" i="9"/>
  <c r="E256" i="9"/>
  <c r="D256" i="9" s="1"/>
  <c r="K255" i="9"/>
  <c r="E255" i="9"/>
  <c r="K254" i="9"/>
  <c r="E254" i="9"/>
  <c r="K253" i="9"/>
  <c r="E253" i="9"/>
  <c r="K252" i="9"/>
  <c r="E252" i="9"/>
  <c r="K251" i="9"/>
  <c r="D251" i="9" s="1"/>
  <c r="E251" i="9"/>
  <c r="K250" i="9"/>
  <c r="E250" i="9"/>
  <c r="K249" i="9"/>
  <c r="E249" i="9"/>
  <c r="K248" i="9"/>
  <c r="D248" i="9" s="1"/>
  <c r="E248" i="9"/>
  <c r="K247" i="9"/>
  <c r="E247" i="9"/>
  <c r="K246" i="9"/>
  <c r="E246" i="9"/>
  <c r="K245" i="9"/>
  <c r="E245" i="9"/>
  <c r="K244" i="9"/>
  <c r="E244" i="9"/>
  <c r="K243" i="9"/>
  <c r="D243" i="9" s="1"/>
  <c r="E243" i="9"/>
  <c r="K242" i="9"/>
  <c r="E242" i="9"/>
  <c r="K241" i="9"/>
  <c r="E241" i="9"/>
  <c r="K240" i="9"/>
  <c r="E240" i="9"/>
  <c r="D240" i="9"/>
  <c r="K239" i="9"/>
  <c r="E239" i="9"/>
  <c r="K238" i="9"/>
  <c r="E238" i="9"/>
  <c r="D238" i="9" s="1"/>
  <c r="K237" i="9"/>
  <c r="E237" i="9"/>
  <c r="D237" i="9" s="1"/>
  <c r="K236" i="9"/>
  <c r="E236" i="9"/>
  <c r="D236" i="9" s="1"/>
  <c r="W235" i="9"/>
  <c r="V235" i="9"/>
  <c r="U235" i="9"/>
  <c r="T235" i="9"/>
  <c r="S235" i="9"/>
  <c r="R235" i="9"/>
  <c r="Q235" i="9"/>
  <c r="P235" i="9"/>
  <c r="O235" i="9"/>
  <c r="N235" i="9"/>
  <c r="M235" i="9"/>
  <c r="L235" i="9"/>
  <c r="J235" i="9"/>
  <c r="I235" i="9"/>
  <c r="H235" i="9"/>
  <c r="G235" i="9"/>
  <c r="F235" i="9"/>
  <c r="K234" i="9"/>
  <c r="E234" i="9"/>
  <c r="K233" i="9"/>
  <c r="E233" i="9"/>
  <c r="K232" i="9"/>
  <c r="E232" i="9"/>
  <c r="U231" i="9"/>
  <c r="K231" i="9" s="1"/>
  <c r="E231" i="9"/>
  <c r="K230" i="9"/>
  <c r="E230" i="9"/>
  <c r="K229" i="9"/>
  <c r="D229" i="9" s="1"/>
  <c r="E229" i="9"/>
  <c r="K228" i="9"/>
  <c r="E228" i="9"/>
  <c r="V227" i="9"/>
  <c r="K227" i="9" s="1"/>
  <c r="E227" i="9"/>
  <c r="K226" i="9"/>
  <c r="E226" i="9"/>
  <c r="K225" i="9"/>
  <c r="E225" i="9"/>
  <c r="K224" i="9"/>
  <c r="E224" i="9"/>
  <c r="D224" i="9"/>
  <c r="K223" i="9"/>
  <c r="E223" i="9"/>
  <c r="K222" i="9"/>
  <c r="E222" i="9"/>
  <c r="D222" i="9" s="1"/>
  <c r="U221" i="9"/>
  <c r="K221" i="9" s="1"/>
  <c r="E221" i="9"/>
  <c r="V220" i="9"/>
  <c r="K220" i="9"/>
  <c r="E220" i="9"/>
  <c r="V219" i="9"/>
  <c r="K219" i="9" s="1"/>
  <c r="E219" i="9"/>
  <c r="K218" i="9"/>
  <c r="E218" i="9"/>
  <c r="K217" i="9"/>
  <c r="D217" i="9" s="1"/>
  <c r="E217" i="9"/>
  <c r="K216" i="9"/>
  <c r="E216" i="9"/>
  <c r="W215" i="9"/>
  <c r="V215" i="9"/>
  <c r="T215" i="9"/>
  <c r="S215" i="9"/>
  <c r="R215" i="9"/>
  <c r="Q215" i="9"/>
  <c r="P215" i="9"/>
  <c r="O215" i="9"/>
  <c r="N215" i="9"/>
  <c r="M215" i="9"/>
  <c r="L215" i="9"/>
  <c r="J215" i="9"/>
  <c r="I215" i="9"/>
  <c r="H215" i="9"/>
  <c r="G215" i="9"/>
  <c r="F215" i="9"/>
  <c r="K214" i="9"/>
  <c r="E214" i="9"/>
  <c r="K213" i="9"/>
  <c r="D213" i="9" s="1"/>
  <c r="E213" i="9"/>
  <c r="K212" i="9"/>
  <c r="E212" i="9"/>
  <c r="K211" i="9"/>
  <c r="E211" i="9"/>
  <c r="W210" i="9"/>
  <c r="W207" i="9" s="1"/>
  <c r="E210" i="9"/>
  <c r="K209" i="9"/>
  <c r="E209" i="9"/>
  <c r="M208" i="9"/>
  <c r="K208" i="9" s="1"/>
  <c r="E208" i="9"/>
  <c r="V207" i="9"/>
  <c r="U207" i="9"/>
  <c r="T207" i="9"/>
  <c r="S207" i="9"/>
  <c r="R207" i="9"/>
  <c r="Q207" i="9"/>
  <c r="P207" i="9"/>
  <c r="O207" i="9"/>
  <c r="N207" i="9"/>
  <c r="L207" i="9"/>
  <c r="J207" i="9"/>
  <c r="I207" i="9"/>
  <c r="H207" i="9"/>
  <c r="G207" i="9"/>
  <c r="F207" i="9"/>
  <c r="K206" i="9"/>
  <c r="E206" i="9"/>
  <c r="D206" i="9"/>
  <c r="K205" i="9"/>
  <c r="E205" i="9"/>
  <c r="K204" i="9"/>
  <c r="E204" i="9"/>
  <c r="D204" i="9" s="1"/>
  <c r="K203" i="9"/>
  <c r="E203" i="9"/>
  <c r="D203" i="9" s="1"/>
  <c r="K202" i="9"/>
  <c r="E202" i="9"/>
  <c r="D202" i="9" s="1"/>
  <c r="K201" i="9"/>
  <c r="E201" i="9"/>
  <c r="D201" i="9" s="1"/>
  <c r="K200" i="9"/>
  <c r="E200" i="9"/>
  <c r="K199" i="9"/>
  <c r="E199" i="9"/>
  <c r="K198" i="9"/>
  <c r="E198" i="9"/>
  <c r="K197" i="9"/>
  <c r="E197" i="9"/>
  <c r="K196" i="9"/>
  <c r="E196" i="9"/>
  <c r="K195" i="9"/>
  <c r="E195" i="9"/>
  <c r="K194" i="9"/>
  <c r="E194" i="9"/>
  <c r="K193" i="9"/>
  <c r="E193" i="9"/>
  <c r="D193" i="9"/>
  <c r="K192" i="9"/>
  <c r="E192" i="9"/>
  <c r="D192" i="9" s="1"/>
  <c r="K191" i="9"/>
  <c r="E191" i="9"/>
  <c r="D191" i="9" s="1"/>
  <c r="K190" i="9"/>
  <c r="E190" i="9"/>
  <c r="D190" i="9" s="1"/>
  <c r="K189" i="9"/>
  <c r="E189" i="9"/>
  <c r="K188" i="9"/>
  <c r="E188" i="9"/>
  <c r="D188" i="9" s="1"/>
  <c r="W187" i="9"/>
  <c r="V187" i="9"/>
  <c r="U187" i="9"/>
  <c r="T187" i="9"/>
  <c r="S187" i="9"/>
  <c r="R187" i="9"/>
  <c r="Q187" i="9"/>
  <c r="P187" i="9"/>
  <c r="O187" i="9"/>
  <c r="N187" i="9"/>
  <c r="M187" i="9"/>
  <c r="L187" i="9"/>
  <c r="J187" i="9"/>
  <c r="I187" i="9"/>
  <c r="H187" i="9"/>
  <c r="G187" i="9"/>
  <c r="F187" i="9"/>
  <c r="K186" i="9"/>
  <c r="E186" i="9"/>
  <c r="K185" i="9"/>
  <c r="D185" i="9" s="1"/>
  <c r="E185" i="9"/>
  <c r="K184" i="9"/>
  <c r="E184" i="9"/>
  <c r="K183" i="9"/>
  <c r="E183" i="9"/>
  <c r="K182" i="9"/>
  <c r="E182" i="9"/>
  <c r="K181" i="9"/>
  <c r="E181" i="9"/>
  <c r="D181" i="9"/>
  <c r="K180" i="9"/>
  <c r="E180" i="9"/>
  <c r="D180" i="9" s="1"/>
  <c r="K179" i="9"/>
  <c r="E179" i="9"/>
  <c r="K178" i="9"/>
  <c r="E178" i="9"/>
  <c r="K177" i="9"/>
  <c r="E177" i="9"/>
  <c r="K176" i="9"/>
  <c r="E176" i="9"/>
  <c r="D176" i="9" s="1"/>
  <c r="K175" i="9"/>
  <c r="E175" i="9"/>
  <c r="D175" i="9" s="1"/>
  <c r="K174" i="9"/>
  <c r="E174" i="9"/>
  <c r="V173" i="9"/>
  <c r="T173" i="9"/>
  <c r="T164" i="9" s="1"/>
  <c r="Q173" i="9"/>
  <c r="Q164" i="9" s="1"/>
  <c r="P173" i="9"/>
  <c r="P164" i="9" s="1"/>
  <c r="N173" i="9"/>
  <c r="L173" i="9"/>
  <c r="L164" i="9" s="1"/>
  <c r="E173" i="9"/>
  <c r="K172" i="9"/>
  <c r="E172" i="9"/>
  <c r="K171" i="9"/>
  <c r="D171" i="9" s="1"/>
  <c r="E171" i="9"/>
  <c r="K170" i="9"/>
  <c r="E170" i="9"/>
  <c r="K169" i="9"/>
  <c r="E169" i="9"/>
  <c r="K168" i="9"/>
  <c r="E168" i="9"/>
  <c r="K167" i="9"/>
  <c r="E167" i="9"/>
  <c r="D167" i="9"/>
  <c r="K166" i="9"/>
  <c r="E166" i="9"/>
  <c r="D166" i="9" s="1"/>
  <c r="K165" i="9"/>
  <c r="E165" i="9"/>
  <c r="W164" i="9"/>
  <c r="V164" i="9"/>
  <c r="U164" i="9"/>
  <c r="S164" i="9"/>
  <c r="R164" i="9"/>
  <c r="O164" i="9"/>
  <c r="N164" i="9"/>
  <c r="M164" i="9"/>
  <c r="J164" i="9"/>
  <c r="I164" i="9"/>
  <c r="H164" i="9"/>
  <c r="G164" i="9"/>
  <c r="F164" i="9"/>
  <c r="K163" i="9"/>
  <c r="E163" i="9"/>
  <c r="K162" i="9"/>
  <c r="E162" i="9"/>
  <c r="K161" i="9"/>
  <c r="D161" i="9" s="1"/>
  <c r="E161" i="9"/>
  <c r="K160" i="9"/>
  <c r="E160" i="9"/>
  <c r="K159" i="9"/>
  <c r="E159" i="9"/>
  <c r="K158" i="9"/>
  <c r="E158" i="9"/>
  <c r="K157" i="9"/>
  <c r="E157" i="9"/>
  <c r="D157" i="9"/>
  <c r="K156" i="9"/>
  <c r="E156" i="9"/>
  <c r="D156" i="9" s="1"/>
  <c r="K155" i="9"/>
  <c r="E155" i="9"/>
  <c r="D155" i="9" s="1"/>
  <c r="K154" i="9"/>
  <c r="E154" i="9"/>
  <c r="D154" i="9" s="1"/>
  <c r="K153" i="9"/>
  <c r="E153" i="9"/>
  <c r="K152" i="9"/>
  <c r="E152" i="9"/>
  <c r="W151" i="9"/>
  <c r="V151" i="9"/>
  <c r="U151" i="9"/>
  <c r="T151" i="9"/>
  <c r="S151" i="9"/>
  <c r="S150" i="9" s="1"/>
  <c r="R151" i="9"/>
  <c r="Q151" i="9"/>
  <c r="P151" i="9"/>
  <c r="O151" i="9"/>
  <c r="N151" i="9"/>
  <c r="M151" i="9"/>
  <c r="L151" i="9"/>
  <c r="J151" i="9"/>
  <c r="I151" i="9"/>
  <c r="H151" i="9"/>
  <c r="G151" i="9"/>
  <c r="F151" i="9"/>
  <c r="O150" i="9"/>
  <c r="J150" i="9"/>
  <c r="G150" i="9"/>
  <c r="F150" i="9"/>
  <c r="K149" i="9"/>
  <c r="E149" i="9"/>
  <c r="D149" i="9" s="1"/>
  <c r="K148" i="9"/>
  <c r="E148" i="9"/>
  <c r="K147" i="9"/>
  <c r="E147" i="9"/>
  <c r="D147" i="9" s="1"/>
  <c r="K146" i="9"/>
  <c r="E146" i="9"/>
  <c r="D146" i="9" s="1"/>
  <c r="K145" i="9"/>
  <c r="E145" i="9"/>
  <c r="K144" i="9"/>
  <c r="E144" i="9"/>
  <c r="D144" i="9" s="1"/>
  <c r="K143" i="9"/>
  <c r="E143" i="9"/>
  <c r="D143" i="9" s="1"/>
  <c r="K142" i="9"/>
  <c r="E142" i="9"/>
  <c r="K141" i="9"/>
  <c r="E141" i="9"/>
  <c r="K140" i="9"/>
  <c r="E140" i="9"/>
  <c r="K139" i="9"/>
  <c r="E139" i="9"/>
  <c r="K138" i="9"/>
  <c r="E138" i="9"/>
  <c r="K137" i="9"/>
  <c r="E137" i="9"/>
  <c r="K136" i="9"/>
  <c r="E136" i="9"/>
  <c r="K135" i="9"/>
  <c r="E135" i="9"/>
  <c r="D135" i="9"/>
  <c r="K134" i="9"/>
  <c r="E134" i="9"/>
  <c r="K133" i="9"/>
  <c r="E133" i="9"/>
  <c r="D133" i="9" s="1"/>
  <c r="K132" i="9"/>
  <c r="E132" i="9"/>
  <c r="K131" i="9"/>
  <c r="E131" i="9"/>
  <c r="K130" i="9"/>
  <c r="E130" i="9"/>
  <c r="K129" i="9"/>
  <c r="E129" i="9"/>
  <c r="K128" i="9"/>
  <c r="E128" i="9"/>
  <c r="K127" i="9"/>
  <c r="E127" i="9"/>
  <c r="K126" i="9"/>
  <c r="E126" i="9"/>
  <c r="K125" i="9"/>
  <c r="E125" i="9"/>
  <c r="K124" i="9"/>
  <c r="E124" i="9"/>
  <c r="K123" i="9"/>
  <c r="E123" i="9"/>
  <c r="K122" i="9"/>
  <c r="E122" i="9"/>
  <c r="K121" i="9"/>
  <c r="E121" i="9"/>
  <c r="K120" i="9"/>
  <c r="E120" i="9"/>
  <c r="W119" i="9"/>
  <c r="V119" i="9"/>
  <c r="U119" i="9"/>
  <c r="T119" i="9"/>
  <c r="S119" i="9"/>
  <c r="R119" i="9"/>
  <c r="Q119" i="9"/>
  <c r="P119" i="9"/>
  <c r="O119" i="9"/>
  <c r="N119" i="9"/>
  <c r="M119" i="9"/>
  <c r="L119" i="9"/>
  <c r="J119" i="9"/>
  <c r="I119" i="9"/>
  <c r="H119" i="9"/>
  <c r="G119" i="9"/>
  <c r="F119" i="9"/>
  <c r="K118" i="9"/>
  <c r="E118" i="9"/>
  <c r="D118" i="9" s="1"/>
  <c r="K117" i="9"/>
  <c r="F117" i="9"/>
  <c r="E117" i="9" s="1"/>
  <c r="K116" i="9"/>
  <c r="F116" i="9"/>
  <c r="E116" i="9" s="1"/>
  <c r="K115" i="9"/>
  <c r="E115" i="9"/>
  <c r="K114" i="9"/>
  <c r="E114" i="9"/>
  <c r="K113" i="9"/>
  <c r="E113" i="9"/>
  <c r="K112" i="9"/>
  <c r="F112" i="9"/>
  <c r="E112" i="9" s="1"/>
  <c r="D112" i="9" s="1"/>
  <c r="K111" i="9"/>
  <c r="E111" i="9"/>
  <c r="K110" i="9"/>
  <c r="E110" i="9"/>
  <c r="K109" i="9"/>
  <c r="E109" i="9"/>
  <c r="K108" i="9"/>
  <c r="E108" i="9"/>
  <c r="K107" i="9"/>
  <c r="E107" i="9"/>
  <c r="K106" i="9"/>
  <c r="E106" i="9"/>
  <c r="K105" i="9"/>
  <c r="E105" i="9"/>
  <c r="K104" i="9"/>
  <c r="E104" i="9"/>
  <c r="K103" i="9"/>
  <c r="E103" i="9"/>
  <c r="K102" i="9"/>
  <c r="E102" i="9"/>
  <c r="K101" i="9"/>
  <c r="E101" i="9"/>
  <c r="K100" i="9"/>
  <c r="E100" i="9"/>
  <c r="K99" i="9"/>
  <c r="E99" i="9"/>
  <c r="W98" i="9"/>
  <c r="V98" i="9"/>
  <c r="U98" i="9"/>
  <c r="T98" i="9"/>
  <c r="S98" i="9"/>
  <c r="R98" i="9"/>
  <c r="Q98" i="9"/>
  <c r="P98" i="9"/>
  <c r="O98" i="9"/>
  <c r="N98" i="9"/>
  <c r="M98" i="9"/>
  <c r="L98" i="9"/>
  <c r="J98" i="9"/>
  <c r="I98" i="9"/>
  <c r="H98" i="9"/>
  <c r="G98" i="9"/>
  <c r="F98" i="9"/>
  <c r="K97" i="9"/>
  <c r="E97" i="9"/>
  <c r="K96" i="9"/>
  <c r="E96" i="9"/>
  <c r="K95" i="9"/>
  <c r="E95" i="9"/>
  <c r="D95" i="9" s="1"/>
  <c r="K94" i="9"/>
  <c r="E94" i="9"/>
  <c r="K93" i="9"/>
  <c r="E93" i="9"/>
  <c r="K92" i="9"/>
  <c r="E92" i="9"/>
  <c r="D92" i="9" s="1"/>
  <c r="K91" i="9"/>
  <c r="E91" i="9"/>
  <c r="K90" i="9"/>
  <c r="E90" i="9"/>
  <c r="K89" i="9"/>
  <c r="E89" i="9"/>
  <c r="D89" i="9" s="1"/>
  <c r="K88" i="9"/>
  <c r="E88" i="9"/>
  <c r="D88" i="9" s="1"/>
  <c r="K87" i="9"/>
  <c r="E87" i="9"/>
  <c r="D87" i="9" s="1"/>
  <c r="K86" i="9"/>
  <c r="E86" i="9"/>
  <c r="K85" i="9"/>
  <c r="E85" i="9"/>
  <c r="K84" i="9"/>
  <c r="E84" i="9"/>
  <c r="K83" i="9"/>
  <c r="D83" i="9" s="1"/>
  <c r="E83" i="9"/>
  <c r="K82" i="9"/>
  <c r="E82" i="9"/>
  <c r="K81" i="9"/>
  <c r="E81" i="9"/>
  <c r="K80" i="9"/>
  <c r="E80" i="9"/>
  <c r="W79" i="9"/>
  <c r="V79" i="9"/>
  <c r="U79" i="9"/>
  <c r="T79" i="9"/>
  <c r="S79" i="9"/>
  <c r="R79" i="9"/>
  <c r="Q79" i="9"/>
  <c r="P79" i="9"/>
  <c r="O79" i="9"/>
  <c r="N79" i="9"/>
  <c r="M79" i="9"/>
  <c r="L79" i="9"/>
  <c r="J79" i="9"/>
  <c r="I79" i="9"/>
  <c r="H79" i="9"/>
  <c r="G79" i="9"/>
  <c r="F79" i="9"/>
  <c r="K78" i="9"/>
  <c r="E78" i="9"/>
  <c r="D78" i="9" s="1"/>
  <c r="K77" i="9"/>
  <c r="E77" i="9"/>
  <c r="K76" i="9"/>
  <c r="E76" i="9"/>
  <c r="K75" i="9"/>
  <c r="E75" i="9"/>
  <c r="D75" i="9" s="1"/>
  <c r="K74" i="9"/>
  <c r="E74" i="9"/>
  <c r="K73" i="9"/>
  <c r="E73" i="9"/>
  <c r="K72" i="9"/>
  <c r="E72" i="9"/>
  <c r="K71" i="9"/>
  <c r="D71" i="9" s="1"/>
  <c r="E71" i="9"/>
  <c r="K70" i="9"/>
  <c r="E70" i="9"/>
  <c r="K69" i="9"/>
  <c r="D69" i="9" s="1"/>
  <c r="E69" i="9"/>
  <c r="K68" i="9"/>
  <c r="E68" i="9"/>
  <c r="K67" i="9"/>
  <c r="E67" i="9"/>
  <c r="D67" i="9"/>
  <c r="K66" i="9"/>
  <c r="E66" i="9"/>
  <c r="D66" i="9" s="1"/>
  <c r="K65" i="9"/>
  <c r="E65" i="9"/>
  <c r="K64" i="9"/>
  <c r="E64" i="9"/>
  <c r="K63" i="9"/>
  <c r="E63" i="9"/>
  <c r="K62" i="9"/>
  <c r="E62" i="9"/>
  <c r="D62" i="9" s="1"/>
  <c r="K61" i="9"/>
  <c r="E61" i="9"/>
  <c r="K60" i="9"/>
  <c r="E60" i="9"/>
  <c r="K59" i="9"/>
  <c r="E59" i="9"/>
  <c r="K58" i="9"/>
  <c r="E58" i="9"/>
  <c r="K57" i="9"/>
  <c r="D57" i="9" s="1"/>
  <c r="E57" i="9"/>
  <c r="K56" i="9"/>
  <c r="E56" i="9"/>
  <c r="K55" i="9"/>
  <c r="D55" i="9" s="1"/>
  <c r="E55" i="9"/>
  <c r="W54" i="9"/>
  <c r="V54" i="9"/>
  <c r="U54" i="9"/>
  <c r="T54" i="9"/>
  <c r="T53" i="9" s="1"/>
  <c r="S54" i="9"/>
  <c r="R54" i="9"/>
  <c r="Q54" i="9"/>
  <c r="P54" i="9"/>
  <c r="P53" i="9" s="1"/>
  <c r="O54" i="9"/>
  <c r="N54" i="9"/>
  <c r="M54" i="9"/>
  <c r="L54" i="9"/>
  <c r="J54" i="9"/>
  <c r="I54" i="9"/>
  <c r="I53" i="9" s="1"/>
  <c r="H54" i="9"/>
  <c r="G54" i="9"/>
  <c r="F54" i="9"/>
  <c r="U53" i="9"/>
  <c r="M53" i="9"/>
  <c r="K52" i="9"/>
  <c r="E52" i="9"/>
  <c r="K51" i="9"/>
  <c r="E51" i="9"/>
  <c r="K50" i="9"/>
  <c r="E50" i="9"/>
  <c r="K49" i="9"/>
  <c r="E49" i="9"/>
  <c r="W48" i="9"/>
  <c r="V48" i="9"/>
  <c r="U48" i="9"/>
  <c r="T48" i="9"/>
  <c r="S48" i="9"/>
  <c r="R48" i="9"/>
  <c r="Q48" i="9"/>
  <c r="P48" i="9"/>
  <c r="O48" i="9"/>
  <c r="N48" i="9"/>
  <c r="M48" i="9"/>
  <c r="L48" i="9"/>
  <c r="J48" i="9"/>
  <c r="I48" i="9"/>
  <c r="H48" i="9"/>
  <c r="G48" i="9"/>
  <c r="F48" i="9"/>
  <c r="K47" i="9"/>
  <c r="E47" i="9"/>
  <c r="D47" i="9" s="1"/>
  <c r="K46" i="9"/>
  <c r="E46" i="9"/>
  <c r="K45" i="9"/>
  <c r="E45" i="9"/>
  <c r="K44" i="9"/>
  <c r="E44" i="9"/>
  <c r="D44" i="9"/>
  <c r="K43" i="9"/>
  <c r="E43" i="9"/>
  <c r="D43" i="9" s="1"/>
  <c r="K42" i="9"/>
  <c r="E42" i="9"/>
  <c r="K41" i="9"/>
  <c r="E41" i="9"/>
  <c r="K40" i="9"/>
  <c r="D40" i="9" s="1"/>
  <c r="E40" i="9"/>
  <c r="K39" i="9"/>
  <c r="E39" i="9"/>
  <c r="K38" i="9"/>
  <c r="D38" i="9" s="1"/>
  <c r="E38" i="9"/>
  <c r="K37" i="9"/>
  <c r="E37" i="9"/>
  <c r="W36" i="9"/>
  <c r="V36" i="9"/>
  <c r="U36" i="9"/>
  <c r="T36" i="9"/>
  <c r="S36" i="9"/>
  <c r="R36" i="9"/>
  <c r="Q36" i="9"/>
  <c r="P36" i="9"/>
  <c r="O36" i="9"/>
  <c r="N36" i="9"/>
  <c r="M36" i="9"/>
  <c r="K36" i="9" s="1"/>
  <c r="L36" i="9"/>
  <c r="J36" i="9"/>
  <c r="I36" i="9"/>
  <c r="H36" i="9"/>
  <c r="G36" i="9"/>
  <c r="F36" i="9"/>
  <c r="E36" i="9" s="1"/>
  <c r="K35" i="9"/>
  <c r="E35" i="9"/>
  <c r="K34" i="9"/>
  <c r="E34" i="9"/>
  <c r="D34" i="9" s="1"/>
  <c r="K33" i="9"/>
  <c r="E33" i="9"/>
  <c r="K32" i="9"/>
  <c r="E32" i="9"/>
  <c r="K31" i="9"/>
  <c r="E31" i="9"/>
  <c r="D31" i="9" s="1"/>
  <c r="K30" i="9"/>
  <c r="E30" i="9"/>
  <c r="K29" i="9"/>
  <c r="E29" i="9"/>
  <c r="K28" i="9"/>
  <c r="E28" i="9"/>
  <c r="K27" i="9"/>
  <c r="D27" i="9" s="1"/>
  <c r="E27" i="9"/>
  <c r="K26" i="9"/>
  <c r="E26" i="9"/>
  <c r="K25" i="9"/>
  <c r="D25" i="9" s="1"/>
  <c r="E25" i="9"/>
  <c r="W24" i="9"/>
  <c r="V24" i="9"/>
  <c r="U24" i="9"/>
  <c r="T24" i="9"/>
  <c r="S24" i="9"/>
  <c r="R24" i="9"/>
  <c r="Q24" i="9"/>
  <c r="P24" i="9"/>
  <c r="O24" i="9"/>
  <c r="N24" i="9"/>
  <c r="M24" i="9"/>
  <c r="L24" i="9"/>
  <c r="J24" i="9"/>
  <c r="I24" i="9"/>
  <c r="H24" i="9"/>
  <c r="G24" i="9"/>
  <c r="F24" i="9"/>
  <c r="E24" i="9" s="1"/>
  <c r="K23" i="9"/>
  <c r="E23" i="9"/>
  <c r="D23" i="9" s="1"/>
  <c r="K22" i="9"/>
  <c r="E22" i="9"/>
  <c r="D22" i="9" s="1"/>
  <c r="K21" i="9"/>
  <c r="E21" i="9"/>
  <c r="D21" i="9" s="1"/>
  <c r="K20" i="9"/>
  <c r="E20" i="9"/>
  <c r="K19" i="9"/>
  <c r="E19" i="9"/>
  <c r="K18" i="9"/>
  <c r="E18" i="9"/>
  <c r="K17" i="9"/>
  <c r="E17" i="9"/>
  <c r="K16" i="9"/>
  <c r="E16" i="9"/>
  <c r="K15" i="9"/>
  <c r="E15" i="9"/>
  <c r="K14" i="9"/>
  <c r="E14" i="9"/>
  <c r="K13" i="9"/>
  <c r="E13" i="9"/>
  <c r="D13" i="9"/>
  <c r="K12" i="9"/>
  <c r="E12" i="9"/>
  <c r="W11" i="9"/>
  <c r="V11" i="9"/>
  <c r="V10" i="9" s="1"/>
  <c r="U11" i="9"/>
  <c r="T11" i="9"/>
  <c r="S11" i="9"/>
  <c r="R11" i="9"/>
  <c r="R10" i="9" s="1"/>
  <c r="Q11" i="9"/>
  <c r="P11" i="9"/>
  <c r="O11" i="9"/>
  <c r="N11" i="9"/>
  <c r="M11" i="9"/>
  <c r="L11" i="9"/>
  <c r="J11" i="9"/>
  <c r="I11" i="9"/>
  <c r="H11" i="9"/>
  <c r="G11" i="9"/>
  <c r="G10" i="9" s="1"/>
  <c r="F11" i="9"/>
  <c r="W10" i="9"/>
  <c r="H381" i="8"/>
  <c r="I381" i="8"/>
  <c r="J381" i="8"/>
  <c r="K381" i="8"/>
  <c r="N186" i="8"/>
  <c r="O186" i="8"/>
  <c r="P186" i="8"/>
  <c r="Q186" i="8"/>
  <c r="R186" i="8"/>
  <c r="S186" i="8"/>
  <c r="T186" i="8"/>
  <c r="U186" i="8"/>
  <c r="V186" i="8"/>
  <c r="W186" i="8"/>
  <c r="X186" i="8"/>
  <c r="M186" i="8"/>
  <c r="H186" i="8"/>
  <c r="I186" i="8"/>
  <c r="J186" i="8"/>
  <c r="K186" i="8"/>
  <c r="G186" i="8"/>
  <c r="F456" i="8"/>
  <c r="F457" i="8"/>
  <c r="F458" i="8"/>
  <c r="F460" i="8"/>
  <c r="F461" i="8"/>
  <c r="F462" i="8"/>
  <c r="F463" i="8"/>
  <c r="F464" i="8"/>
  <c r="F465" i="8"/>
  <c r="F467" i="8"/>
  <c r="F468" i="8"/>
  <c r="F469" i="8"/>
  <c r="F470" i="8"/>
  <c r="F472" i="8"/>
  <c r="F473" i="8"/>
  <c r="F474" i="8"/>
  <c r="F478" i="8"/>
  <c r="F479" i="8"/>
  <c r="F480" i="8"/>
  <c r="F481" i="8"/>
  <c r="F482" i="8"/>
  <c r="F483" i="8"/>
  <c r="F484" i="8"/>
  <c r="F486" i="8"/>
  <c r="F487" i="8"/>
  <c r="F492" i="8"/>
  <c r="F493" i="8"/>
  <c r="F494" i="8"/>
  <c r="F495" i="8"/>
  <c r="F496" i="8"/>
  <c r="F498" i="8"/>
  <c r="F500" i="8"/>
  <c r="F501" i="8"/>
  <c r="F502" i="8"/>
  <c r="F503" i="8"/>
  <c r="F504" i="8"/>
  <c r="F506" i="8"/>
  <c r="F508" i="8"/>
  <c r="F509" i="8"/>
  <c r="F510" i="8"/>
  <c r="F512" i="8"/>
  <c r="F513" i="8"/>
  <c r="F516" i="8"/>
  <c r="F518" i="8"/>
  <c r="F519" i="8"/>
  <c r="F520" i="8"/>
  <c r="F521" i="8"/>
  <c r="F522" i="8"/>
  <c r="F524" i="8"/>
  <c r="F525" i="8"/>
  <c r="F527" i="8"/>
  <c r="F528" i="8"/>
  <c r="F529" i="8"/>
  <c r="F530" i="8"/>
  <c r="F531" i="8"/>
  <c r="F455" i="8"/>
  <c r="L12" i="8"/>
  <c r="L14" i="8"/>
  <c r="L15" i="8"/>
  <c r="L16" i="8"/>
  <c r="L17" i="8"/>
  <c r="L18" i="8"/>
  <c r="L19" i="8"/>
  <c r="L22" i="8"/>
  <c r="L24" i="8"/>
  <c r="L25" i="8"/>
  <c r="L26" i="8"/>
  <c r="L29" i="8"/>
  <c r="L30" i="8"/>
  <c r="L31" i="8"/>
  <c r="L32" i="8"/>
  <c r="L33" i="8"/>
  <c r="L34" i="8"/>
  <c r="L36" i="8"/>
  <c r="L37" i="8"/>
  <c r="L38" i="8"/>
  <c r="L39" i="8"/>
  <c r="L40" i="8"/>
  <c r="L41" i="8"/>
  <c r="L42" i="8"/>
  <c r="L43" i="8"/>
  <c r="L44" i="8"/>
  <c r="L45" i="8"/>
  <c r="L46" i="8"/>
  <c r="L48" i="8"/>
  <c r="L49" i="8"/>
  <c r="L51" i="8"/>
  <c r="L55" i="8"/>
  <c r="L56" i="8"/>
  <c r="L57" i="8"/>
  <c r="L58" i="8"/>
  <c r="L59" i="8"/>
  <c r="L60" i="8"/>
  <c r="L65" i="8"/>
  <c r="L67" i="8"/>
  <c r="L68" i="8"/>
  <c r="L71" i="8"/>
  <c r="L72" i="8"/>
  <c r="L75" i="8"/>
  <c r="L76" i="8"/>
  <c r="L77" i="8"/>
  <c r="L79" i="8"/>
  <c r="L85" i="8"/>
  <c r="L89" i="8"/>
  <c r="L90" i="8"/>
  <c r="L91" i="8"/>
  <c r="L92" i="8"/>
  <c r="L93" i="8"/>
  <c r="L94" i="8"/>
  <c r="L95" i="8"/>
  <c r="L96" i="8"/>
  <c r="L102" i="8"/>
  <c r="L105" i="8"/>
  <c r="L106" i="8"/>
  <c r="L107" i="8"/>
  <c r="L109" i="8"/>
  <c r="L110" i="8"/>
  <c r="L111" i="8"/>
  <c r="L113" i="8"/>
  <c r="L114" i="8"/>
  <c r="L115" i="8"/>
  <c r="L120" i="8"/>
  <c r="L121" i="8"/>
  <c r="L123" i="8"/>
  <c r="L124" i="8"/>
  <c r="L125" i="8"/>
  <c r="L128" i="8"/>
  <c r="L130" i="8"/>
  <c r="L131" i="8"/>
  <c r="L132" i="8"/>
  <c r="L133" i="8"/>
  <c r="L134" i="8"/>
  <c r="L137" i="8"/>
  <c r="L138" i="8"/>
  <c r="L139" i="8"/>
  <c r="L140" i="8"/>
  <c r="L141" i="8"/>
  <c r="L142" i="8"/>
  <c r="L143" i="8"/>
  <c r="L144" i="8"/>
  <c r="L145" i="8"/>
  <c r="L146" i="8"/>
  <c r="L147" i="8"/>
  <c r="L148" i="8"/>
  <c r="L152" i="8"/>
  <c r="L153" i="8"/>
  <c r="L154" i="8"/>
  <c r="L155" i="8"/>
  <c r="L159" i="8"/>
  <c r="L161" i="8"/>
  <c r="L162" i="8"/>
  <c r="L165" i="8"/>
  <c r="L166" i="8"/>
  <c r="L168" i="8"/>
  <c r="L169" i="8"/>
  <c r="L170" i="8"/>
  <c r="L171" i="8"/>
  <c r="L175" i="8"/>
  <c r="L176" i="8"/>
  <c r="L178" i="8"/>
  <c r="L180" i="8"/>
  <c r="L181" i="8"/>
  <c r="L182" i="8"/>
  <c r="L183" i="8"/>
  <c r="L188" i="8"/>
  <c r="L189" i="8"/>
  <c r="L190" i="8"/>
  <c r="L191" i="8"/>
  <c r="L192" i="8"/>
  <c r="L196" i="8"/>
  <c r="L197" i="8"/>
  <c r="L198" i="8"/>
  <c r="L199" i="8"/>
  <c r="L200" i="8"/>
  <c r="L201" i="8"/>
  <c r="L202" i="8"/>
  <c r="L203" i="8"/>
  <c r="L204" i="8"/>
  <c r="L207" i="8"/>
  <c r="L211" i="8"/>
  <c r="L215" i="8"/>
  <c r="L216" i="8"/>
  <c r="L220" i="8"/>
  <c r="L221" i="8"/>
  <c r="L222" i="8"/>
  <c r="L223" i="8"/>
  <c r="L224" i="8"/>
  <c r="L226" i="8"/>
  <c r="L227" i="8"/>
  <c r="L230" i="8"/>
  <c r="L231" i="8"/>
  <c r="L236" i="8"/>
  <c r="L238" i="8"/>
  <c r="L241" i="8"/>
  <c r="L242" i="8"/>
  <c r="L244" i="8"/>
  <c r="L245" i="8"/>
  <c r="L246" i="8"/>
  <c r="L247" i="8"/>
  <c r="L248" i="8"/>
  <c r="L249" i="8"/>
  <c r="L250" i="8"/>
  <c r="L251" i="8"/>
  <c r="L252" i="8"/>
  <c r="L253" i="8"/>
  <c r="L258" i="8"/>
  <c r="L261" i="8"/>
  <c r="L262" i="8"/>
  <c r="L263" i="8"/>
  <c r="L265" i="8"/>
  <c r="L266" i="8"/>
  <c r="L269" i="8"/>
  <c r="L271" i="8"/>
  <c r="L273" i="8"/>
  <c r="L274" i="8"/>
  <c r="L275" i="8"/>
  <c r="L276" i="8"/>
  <c r="L277" i="8"/>
  <c r="L278" i="8"/>
  <c r="L279" i="8"/>
  <c r="L282" i="8"/>
  <c r="L283" i="8"/>
  <c r="L284" i="8"/>
  <c r="L285" i="8"/>
  <c r="L286" i="8"/>
  <c r="L287" i="8"/>
  <c r="L288" i="8"/>
  <c r="L289" i="8"/>
  <c r="L290" i="8"/>
  <c r="L291" i="8"/>
  <c r="L293" i="8"/>
  <c r="L295" i="8"/>
  <c r="L296" i="8"/>
  <c r="L297" i="8"/>
  <c r="L298" i="8"/>
  <c r="L299" i="8"/>
  <c r="L300" i="8"/>
  <c r="L301" i="8"/>
  <c r="L302" i="8"/>
  <c r="L303" i="8"/>
  <c r="L304" i="8"/>
  <c r="L305" i="8"/>
  <c r="L306" i="8"/>
  <c r="L307" i="8"/>
  <c r="L308" i="8"/>
  <c r="L309" i="8"/>
  <c r="L310" i="8"/>
  <c r="L311" i="8"/>
  <c r="L312" i="8"/>
  <c r="L313" i="8"/>
  <c r="L315" i="8"/>
  <c r="L316" i="8"/>
  <c r="L317" i="8"/>
  <c r="L319" i="8"/>
  <c r="L320" i="8"/>
  <c r="L321" i="8"/>
  <c r="L322" i="8"/>
  <c r="L323" i="8"/>
  <c r="L324" i="8"/>
  <c r="L325" i="8"/>
  <c r="L327" i="8"/>
  <c r="L328" i="8"/>
  <c r="L329" i="8"/>
  <c r="L330" i="8"/>
  <c r="L331" i="8"/>
  <c r="L332" i="8"/>
  <c r="L333" i="8"/>
  <c r="L334" i="8"/>
  <c r="L335" i="8"/>
  <c r="L336" i="8"/>
  <c r="L337" i="8"/>
  <c r="L338" i="8"/>
  <c r="L340" i="8"/>
  <c r="L341" i="8"/>
  <c r="L342" i="8"/>
  <c r="L343" i="8"/>
  <c r="L344" i="8"/>
  <c r="L345" i="8"/>
  <c r="L346" i="8"/>
  <c r="L347" i="8"/>
  <c r="L348" i="8"/>
  <c r="L349" i="8"/>
  <c r="L350" i="8"/>
  <c r="L356" i="8"/>
  <c r="L357" i="8"/>
  <c r="L358" i="8"/>
  <c r="L362" i="8"/>
  <c r="L363" i="8"/>
  <c r="L365" i="8"/>
  <c r="L366" i="8"/>
  <c r="L367" i="8"/>
  <c r="L368" i="8"/>
  <c r="L369" i="8"/>
  <c r="L370" i="8"/>
  <c r="L372" i="8"/>
  <c r="L373" i="8"/>
  <c r="L375" i="8"/>
  <c r="L376" i="8"/>
  <c r="L377" i="8"/>
  <c r="L378" i="8"/>
  <c r="L379" i="8"/>
  <c r="L382" i="8"/>
  <c r="L384" i="8"/>
  <c r="L387" i="8"/>
  <c r="L388" i="8"/>
  <c r="L389" i="8"/>
  <c r="L390" i="8"/>
  <c r="L391" i="8"/>
  <c r="L393" i="8"/>
  <c r="L394" i="8"/>
  <c r="L397" i="8"/>
  <c r="L398" i="8"/>
  <c r="L399" i="8"/>
  <c r="L400" i="8"/>
  <c r="L401" i="8"/>
  <c r="L402" i="8"/>
  <c r="L404" i="8"/>
  <c r="L405" i="8"/>
  <c r="L407" i="8"/>
  <c r="L410" i="8"/>
  <c r="L411" i="8"/>
  <c r="L412" i="8"/>
  <c r="L415" i="8"/>
  <c r="L416" i="8"/>
  <c r="L417" i="8"/>
  <c r="L418" i="8"/>
  <c r="L422" i="8"/>
  <c r="L423" i="8"/>
  <c r="L425" i="8"/>
  <c r="L426" i="8"/>
  <c r="L428" i="8"/>
  <c r="L431" i="8"/>
  <c r="L434" i="8"/>
  <c r="L435" i="8"/>
  <c r="L436" i="8"/>
  <c r="L437" i="8"/>
  <c r="L438" i="8"/>
  <c r="L439" i="8"/>
  <c r="L440" i="8"/>
  <c r="L442" i="8"/>
  <c r="L444" i="8"/>
  <c r="L445" i="8"/>
  <c r="L446" i="8"/>
  <c r="L448" i="8"/>
  <c r="L450" i="8"/>
  <c r="L451" i="8"/>
  <c r="L456" i="8"/>
  <c r="L457" i="8"/>
  <c r="L458" i="8"/>
  <c r="L460" i="8"/>
  <c r="L461" i="8"/>
  <c r="L462" i="8"/>
  <c r="L463" i="8"/>
  <c r="L464" i="8"/>
  <c r="L465" i="8"/>
  <c r="L469" i="8"/>
  <c r="L470" i="8"/>
  <c r="L472" i="8"/>
  <c r="L473" i="8"/>
  <c r="L474" i="8"/>
  <c r="L479" i="8"/>
  <c r="L480" i="8"/>
  <c r="L483" i="8"/>
  <c r="L484" i="8"/>
  <c r="L486" i="8"/>
  <c r="L487" i="8"/>
  <c r="L490" i="8"/>
  <c r="L491" i="8"/>
  <c r="L492" i="8"/>
  <c r="L493" i="8"/>
  <c r="L494" i="8"/>
  <c r="L495" i="8"/>
  <c r="L496" i="8"/>
  <c r="L498" i="8"/>
  <c r="L500" i="8"/>
  <c r="L501" i="8"/>
  <c r="L502" i="8"/>
  <c r="L503" i="8"/>
  <c r="L504" i="8"/>
  <c r="L506" i="8"/>
  <c r="L508" i="8"/>
  <c r="L512" i="8"/>
  <c r="L513" i="8"/>
  <c r="L516" i="8"/>
  <c r="L518" i="8"/>
  <c r="L520" i="8"/>
  <c r="L521" i="8"/>
  <c r="L522" i="8"/>
  <c r="L527" i="8"/>
  <c r="L528" i="8"/>
  <c r="L529" i="8"/>
  <c r="L530" i="8"/>
  <c r="L531" i="8"/>
  <c r="H526" i="8"/>
  <c r="I526" i="8"/>
  <c r="J526" i="8"/>
  <c r="K526" i="8"/>
  <c r="M526" i="8"/>
  <c r="N526" i="8"/>
  <c r="O526" i="8"/>
  <c r="P526" i="8"/>
  <c r="Q526" i="8"/>
  <c r="R526" i="8"/>
  <c r="S526" i="8"/>
  <c r="T526" i="8"/>
  <c r="U526" i="8"/>
  <c r="V526" i="8"/>
  <c r="W526" i="8"/>
  <c r="X526" i="8"/>
  <c r="G526" i="8"/>
  <c r="H523" i="8"/>
  <c r="I523" i="8"/>
  <c r="J523" i="8"/>
  <c r="K523" i="8"/>
  <c r="M523" i="8"/>
  <c r="N523" i="8"/>
  <c r="O523" i="8"/>
  <c r="Q523" i="8"/>
  <c r="S523" i="8"/>
  <c r="T523" i="8"/>
  <c r="U523" i="8"/>
  <c r="V523" i="8"/>
  <c r="W523" i="8"/>
  <c r="X523" i="8"/>
  <c r="G523" i="8"/>
  <c r="H517" i="8"/>
  <c r="I517" i="8"/>
  <c r="J517" i="8"/>
  <c r="K517" i="8"/>
  <c r="N517" i="8"/>
  <c r="O517" i="8"/>
  <c r="P517" i="8"/>
  <c r="Q517" i="8"/>
  <c r="R517" i="8"/>
  <c r="S517" i="8"/>
  <c r="T517" i="8"/>
  <c r="U517" i="8"/>
  <c r="V517" i="8"/>
  <c r="W517" i="8"/>
  <c r="X517" i="8"/>
  <c r="G517" i="8"/>
  <c r="H511" i="8"/>
  <c r="I511" i="8"/>
  <c r="J511" i="8"/>
  <c r="K511" i="8"/>
  <c r="M511" i="8"/>
  <c r="N511" i="8"/>
  <c r="O511" i="8"/>
  <c r="P511" i="8"/>
  <c r="Q511" i="8"/>
  <c r="R511" i="8"/>
  <c r="S511" i="8"/>
  <c r="T511" i="8"/>
  <c r="U511" i="8"/>
  <c r="V511" i="8"/>
  <c r="W511" i="8"/>
  <c r="X511" i="8"/>
  <c r="G511" i="8"/>
  <c r="H507" i="8"/>
  <c r="I507" i="8"/>
  <c r="J507" i="8"/>
  <c r="K507" i="8"/>
  <c r="N507" i="8"/>
  <c r="O507" i="8"/>
  <c r="P507" i="8"/>
  <c r="R507" i="8"/>
  <c r="S507" i="8"/>
  <c r="T507" i="8"/>
  <c r="U507" i="8"/>
  <c r="V507" i="8"/>
  <c r="X507" i="8"/>
  <c r="H505" i="8"/>
  <c r="I505" i="8"/>
  <c r="J505" i="8"/>
  <c r="K505" i="8"/>
  <c r="M505" i="8"/>
  <c r="N505" i="8"/>
  <c r="O505" i="8"/>
  <c r="P505" i="8"/>
  <c r="Q505" i="8"/>
  <c r="R505" i="8"/>
  <c r="S505" i="8"/>
  <c r="T505" i="8"/>
  <c r="U505" i="8"/>
  <c r="V505" i="8"/>
  <c r="W505" i="8"/>
  <c r="X505" i="8"/>
  <c r="G505" i="8"/>
  <c r="H489" i="8"/>
  <c r="I489" i="8"/>
  <c r="J489" i="8"/>
  <c r="K489" i="8"/>
  <c r="M489" i="8"/>
  <c r="N489" i="8"/>
  <c r="O489" i="8"/>
  <c r="P489" i="8"/>
  <c r="Q489" i="8"/>
  <c r="R489" i="8"/>
  <c r="S489" i="8"/>
  <c r="T489" i="8"/>
  <c r="U489" i="8"/>
  <c r="V489" i="8"/>
  <c r="W489" i="8"/>
  <c r="X489" i="8"/>
  <c r="H477" i="8"/>
  <c r="I477" i="8"/>
  <c r="J477" i="8"/>
  <c r="K477" i="8"/>
  <c r="M477" i="8"/>
  <c r="N477" i="8"/>
  <c r="O477" i="8"/>
  <c r="Q477" i="8"/>
  <c r="R477" i="8"/>
  <c r="T477" i="8"/>
  <c r="U477" i="8"/>
  <c r="X477" i="8"/>
  <c r="H466" i="8"/>
  <c r="I466" i="8"/>
  <c r="J466" i="8"/>
  <c r="K466" i="8"/>
  <c r="M466" i="8"/>
  <c r="N466" i="8"/>
  <c r="O466" i="8"/>
  <c r="Q466" i="8"/>
  <c r="R466" i="8"/>
  <c r="S466" i="8"/>
  <c r="T466" i="8"/>
  <c r="U466" i="8"/>
  <c r="V466" i="8"/>
  <c r="X466" i="8"/>
  <c r="H459" i="8"/>
  <c r="I459" i="8"/>
  <c r="J459" i="8"/>
  <c r="K459" i="8"/>
  <c r="M459" i="8"/>
  <c r="N459" i="8"/>
  <c r="O459" i="8"/>
  <c r="P459" i="8"/>
  <c r="Q459" i="8"/>
  <c r="R459" i="8"/>
  <c r="S459" i="8"/>
  <c r="T459" i="8"/>
  <c r="U459" i="8"/>
  <c r="V459" i="8"/>
  <c r="W459" i="8"/>
  <c r="X459" i="8"/>
  <c r="H447" i="8"/>
  <c r="I447" i="8"/>
  <c r="J447" i="8"/>
  <c r="K447" i="8"/>
  <c r="M447" i="8"/>
  <c r="N447" i="8"/>
  <c r="O447" i="8"/>
  <c r="P447" i="8"/>
  <c r="Q447" i="8"/>
  <c r="R447" i="8"/>
  <c r="S447" i="8"/>
  <c r="T447" i="8"/>
  <c r="U447" i="8"/>
  <c r="X447" i="8"/>
  <c r="G447" i="8"/>
  <c r="H443" i="8"/>
  <c r="I443" i="8"/>
  <c r="J443" i="8"/>
  <c r="K443" i="8"/>
  <c r="M443" i="8"/>
  <c r="N443" i="8"/>
  <c r="O443" i="8"/>
  <c r="P443" i="8"/>
  <c r="Q443" i="8"/>
  <c r="R443" i="8"/>
  <c r="S443" i="8"/>
  <c r="T443" i="8"/>
  <c r="U443" i="8"/>
  <c r="V443" i="8"/>
  <c r="W443" i="8"/>
  <c r="X443" i="8"/>
  <c r="G443" i="8"/>
  <c r="H441" i="8"/>
  <c r="I441" i="8"/>
  <c r="J441" i="8"/>
  <c r="K441" i="8"/>
  <c r="M441" i="8"/>
  <c r="N441" i="8"/>
  <c r="O441" i="8"/>
  <c r="P441" i="8"/>
  <c r="Q441" i="8"/>
  <c r="R441" i="8"/>
  <c r="S441" i="8"/>
  <c r="T441" i="8"/>
  <c r="U441" i="8"/>
  <c r="V441" i="8"/>
  <c r="W441" i="8"/>
  <c r="X441" i="8"/>
  <c r="G441" i="8"/>
  <c r="H429" i="8"/>
  <c r="I429" i="8"/>
  <c r="J429" i="8"/>
  <c r="K429" i="8"/>
  <c r="M429" i="8"/>
  <c r="N429" i="8"/>
  <c r="O429" i="8"/>
  <c r="P429" i="8"/>
  <c r="Q429" i="8"/>
  <c r="R429" i="8"/>
  <c r="S429" i="8"/>
  <c r="T429" i="8"/>
  <c r="U429" i="8"/>
  <c r="V429" i="8"/>
  <c r="W429" i="8"/>
  <c r="X429" i="8"/>
  <c r="H406" i="8"/>
  <c r="I406" i="8"/>
  <c r="J406" i="8"/>
  <c r="K406" i="8"/>
  <c r="N406" i="8"/>
  <c r="O406" i="8"/>
  <c r="Q406" i="8"/>
  <c r="R406" i="8"/>
  <c r="S406" i="8"/>
  <c r="U406" i="8"/>
  <c r="V406" i="8"/>
  <c r="W406" i="8"/>
  <c r="G406" i="8"/>
  <c r="H396" i="8"/>
  <c r="I396" i="8"/>
  <c r="J396" i="8"/>
  <c r="K396" i="8"/>
  <c r="M396" i="8"/>
  <c r="N396" i="8"/>
  <c r="O396" i="8"/>
  <c r="P396" i="8"/>
  <c r="Q396" i="8"/>
  <c r="R396" i="8"/>
  <c r="S396" i="8"/>
  <c r="T396" i="8"/>
  <c r="U396" i="8"/>
  <c r="V396" i="8"/>
  <c r="W396" i="8"/>
  <c r="X396" i="8"/>
  <c r="H386" i="8"/>
  <c r="I386" i="8"/>
  <c r="J386" i="8"/>
  <c r="K386" i="8"/>
  <c r="M386" i="8"/>
  <c r="N386" i="8"/>
  <c r="O386" i="8"/>
  <c r="P386" i="8"/>
  <c r="Q386" i="8"/>
  <c r="R386" i="8"/>
  <c r="S386" i="8"/>
  <c r="T386" i="8"/>
  <c r="U386" i="8"/>
  <c r="V386" i="8"/>
  <c r="W386" i="8"/>
  <c r="X386" i="8"/>
  <c r="G386" i="8"/>
  <c r="H374" i="8"/>
  <c r="I374" i="8"/>
  <c r="J374" i="8"/>
  <c r="K374" i="8"/>
  <c r="M374" i="8"/>
  <c r="N374" i="8"/>
  <c r="O374" i="8"/>
  <c r="P374" i="8"/>
  <c r="Q374" i="8"/>
  <c r="R374" i="8"/>
  <c r="S374" i="8"/>
  <c r="T374" i="8"/>
  <c r="U374" i="8"/>
  <c r="V374" i="8"/>
  <c r="W374" i="8"/>
  <c r="X374" i="8"/>
  <c r="H355" i="8"/>
  <c r="I355" i="8"/>
  <c r="J355" i="8"/>
  <c r="K355" i="8"/>
  <c r="M355" i="8"/>
  <c r="N355" i="8"/>
  <c r="O355" i="8"/>
  <c r="P355" i="8"/>
  <c r="Q355" i="8"/>
  <c r="R355" i="8"/>
  <c r="S355" i="8"/>
  <c r="T355" i="8"/>
  <c r="U355" i="8"/>
  <c r="V355" i="8"/>
  <c r="W355" i="8"/>
  <c r="X355" i="8"/>
  <c r="G355" i="8"/>
  <c r="H326" i="8"/>
  <c r="I326" i="8"/>
  <c r="J326" i="8"/>
  <c r="K326" i="8"/>
  <c r="M326" i="8"/>
  <c r="N326" i="8"/>
  <c r="O326" i="8"/>
  <c r="P326" i="8"/>
  <c r="Q326" i="8"/>
  <c r="S326" i="8"/>
  <c r="T326" i="8"/>
  <c r="U326" i="8"/>
  <c r="V326" i="8"/>
  <c r="W326" i="8"/>
  <c r="X326" i="8"/>
  <c r="G326" i="8"/>
  <c r="H314" i="8"/>
  <c r="I314" i="8"/>
  <c r="J314" i="8"/>
  <c r="M314" i="8"/>
  <c r="N314" i="8"/>
  <c r="O314" i="8"/>
  <c r="P314" i="8"/>
  <c r="Q314" i="8"/>
  <c r="R314" i="8"/>
  <c r="S314" i="8"/>
  <c r="T314" i="8"/>
  <c r="U314" i="8"/>
  <c r="V314" i="8"/>
  <c r="W314" i="8"/>
  <c r="X314" i="8"/>
  <c r="G314" i="8"/>
  <c r="E207" i="10" l="1"/>
  <c r="D29" i="9"/>
  <c r="D136" i="9"/>
  <c r="D138" i="9"/>
  <c r="D139" i="9"/>
  <c r="D141" i="9"/>
  <c r="D197" i="9"/>
  <c r="E207" i="9"/>
  <c r="M207" i="9"/>
  <c r="D218" i="9"/>
  <c r="D225" i="9"/>
  <c r="D358" i="9"/>
  <c r="D492" i="9"/>
  <c r="D534" i="9"/>
  <c r="E12" i="10"/>
  <c r="E14" i="10"/>
  <c r="E30" i="10"/>
  <c r="E39" i="10"/>
  <c r="E47" i="10"/>
  <c r="E52" i="10"/>
  <c r="E318" i="10"/>
  <c r="E320" i="10"/>
  <c r="E352" i="10"/>
  <c r="E364" i="10"/>
  <c r="D17" i="9"/>
  <c r="D59" i="9"/>
  <c r="D73" i="9"/>
  <c r="D93" i="9"/>
  <c r="D100" i="9"/>
  <c r="D103" i="9"/>
  <c r="D107" i="9"/>
  <c r="D108" i="9"/>
  <c r="D109" i="9"/>
  <c r="D110" i="9"/>
  <c r="D120" i="9"/>
  <c r="D123" i="9"/>
  <c r="D128" i="9"/>
  <c r="D131" i="9"/>
  <c r="M150" i="9"/>
  <c r="D153" i="9"/>
  <c r="D162" i="9"/>
  <c r="D163" i="9"/>
  <c r="D396" i="9"/>
  <c r="D404" i="9"/>
  <c r="D437" i="9"/>
  <c r="D439" i="9"/>
  <c r="D440" i="9"/>
  <c r="D446" i="9"/>
  <c r="D451" i="9"/>
  <c r="D459" i="9"/>
  <c r="V497" i="9"/>
  <c r="E545" i="9"/>
  <c r="E124" i="10"/>
  <c r="E125" i="10"/>
  <c r="E127" i="10"/>
  <c r="E132" i="10"/>
  <c r="E133" i="10"/>
  <c r="E140" i="10"/>
  <c r="E142" i="10"/>
  <c r="E147" i="10"/>
  <c r="E148" i="10"/>
  <c r="E149" i="10"/>
  <c r="E162" i="10"/>
  <c r="E194" i="10"/>
  <c r="N206" i="10"/>
  <c r="N150" i="10" s="1"/>
  <c r="L209" i="10"/>
  <c r="E209" i="10" s="1"/>
  <c r="E211" i="10"/>
  <c r="E213" i="10"/>
  <c r="U385" i="10"/>
  <c r="E444" i="10"/>
  <c r="E449" i="10"/>
  <c r="G532" i="10"/>
  <c r="M535" i="10"/>
  <c r="E536" i="10"/>
  <c r="L544" i="10"/>
  <c r="E545" i="10"/>
  <c r="E546" i="10"/>
  <c r="E547" i="10"/>
  <c r="E49" i="17"/>
  <c r="E25" i="17"/>
  <c r="D25" i="21"/>
  <c r="J10" i="9"/>
  <c r="O10" i="9"/>
  <c r="S10" i="9"/>
  <c r="Q10" i="9"/>
  <c r="U10" i="9"/>
  <c r="D42" i="9"/>
  <c r="D52" i="9"/>
  <c r="D58" i="9"/>
  <c r="D61" i="9"/>
  <c r="D63" i="9"/>
  <c r="D65" i="9"/>
  <c r="D70" i="9"/>
  <c r="D74" i="9"/>
  <c r="D77" i="9"/>
  <c r="D80" i="9"/>
  <c r="D81" i="9"/>
  <c r="D84" i="9"/>
  <c r="D85" i="9"/>
  <c r="D91" i="9"/>
  <c r="D96" i="9"/>
  <c r="D97" i="9"/>
  <c r="F53" i="9"/>
  <c r="J53" i="9"/>
  <c r="O53" i="9"/>
  <c r="S53" i="9"/>
  <c r="W53" i="9"/>
  <c r="D99" i="9"/>
  <c r="D101" i="9"/>
  <c r="D104" i="9"/>
  <c r="D111" i="9"/>
  <c r="D113" i="9"/>
  <c r="D114" i="9"/>
  <c r="D115" i="9"/>
  <c r="D116" i="9"/>
  <c r="D117" i="9"/>
  <c r="K119" i="9"/>
  <c r="D124" i="9"/>
  <c r="D14" i="9"/>
  <c r="D15" i="9"/>
  <c r="D18" i="9"/>
  <c r="D19" i="9"/>
  <c r="D26" i="9"/>
  <c r="D30" i="9"/>
  <c r="D33" i="9"/>
  <c r="D35" i="9"/>
  <c r="D39" i="9"/>
  <c r="D46" i="9"/>
  <c r="D49" i="9"/>
  <c r="D50" i="9"/>
  <c r="Q53" i="9"/>
  <c r="H150" i="9"/>
  <c r="N150" i="9"/>
  <c r="U150" i="9"/>
  <c r="D208" i="9"/>
  <c r="W150" i="9"/>
  <c r="D219" i="9"/>
  <c r="D227" i="9"/>
  <c r="N266" i="9"/>
  <c r="J388" i="9"/>
  <c r="O388" i="9"/>
  <c r="W415" i="9"/>
  <c r="I508" i="9"/>
  <c r="F54" i="10"/>
  <c r="L98" i="10"/>
  <c r="W53" i="10"/>
  <c r="E113" i="10"/>
  <c r="E115" i="10"/>
  <c r="E128" i="10"/>
  <c r="E135" i="10"/>
  <c r="E144" i="10"/>
  <c r="D127" i="9"/>
  <c r="D132" i="9"/>
  <c r="D140" i="9"/>
  <c r="D148" i="9"/>
  <c r="D152" i="9"/>
  <c r="D158" i="9"/>
  <c r="D159" i="9"/>
  <c r="D160" i="9"/>
  <c r="D169" i="9"/>
  <c r="D170" i="9"/>
  <c r="D172" i="9"/>
  <c r="Q150" i="9"/>
  <c r="D177" i="9"/>
  <c r="D183" i="9"/>
  <c r="D184" i="9"/>
  <c r="D189" i="9"/>
  <c r="D194" i="9"/>
  <c r="D195" i="9"/>
  <c r="D196" i="9"/>
  <c r="D198" i="9"/>
  <c r="D199" i="9"/>
  <c r="D200" i="9"/>
  <c r="D205" i="9"/>
  <c r="I150" i="9"/>
  <c r="R150" i="9"/>
  <c r="V150" i="9"/>
  <c r="D209" i="9"/>
  <c r="D211" i="9"/>
  <c r="D212" i="9"/>
  <c r="D214" i="9"/>
  <c r="D216" i="9"/>
  <c r="D228" i="9"/>
  <c r="D230" i="9"/>
  <c r="D234" i="9"/>
  <c r="E235" i="9"/>
  <c r="D242" i="9"/>
  <c r="D244" i="9"/>
  <c r="D245" i="9"/>
  <c r="D246" i="9"/>
  <c r="D252" i="9"/>
  <c r="D254" i="9"/>
  <c r="D259" i="9"/>
  <c r="D264" i="9"/>
  <c r="D265" i="9"/>
  <c r="E266" i="9"/>
  <c r="D269" i="9"/>
  <c r="D271" i="9"/>
  <c r="K272" i="9"/>
  <c r="D273" i="9"/>
  <c r="D274" i="9"/>
  <c r="D282" i="9"/>
  <c r="D285" i="9"/>
  <c r="D286" i="9"/>
  <c r="D289" i="9"/>
  <c r="D293" i="9"/>
  <c r="D295" i="9"/>
  <c r="D298" i="9"/>
  <c r="D312" i="9"/>
  <c r="D315" i="9"/>
  <c r="D317" i="9"/>
  <c r="D318" i="9"/>
  <c r="D320" i="9"/>
  <c r="D335" i="9"/>
  <c r="D337" i="9"/>
  <c r="D338" i="9"/>
  <c r="D339" i="9"/>
  <c r="D341" i="9"/>
  <c r="D342" i="9"/>
  <c r="D344" i="9"/>
  <c r="D345" i="9"/>
  <c r="D346" i="9"/>
  <c r="D349" i="9"/>
  <c r="D350" i="9"/>
  <c r="D355" i="9"/>
  <c r="E360" i="9"/>
  <c r="D362" i="9"/>
  <c r="D366" i="9"/>
  <c r="D376" i="9"/>
  <c r="D377" i="9"/>
  <c r="D379" i="9"/>
  <c r="D380" i="9"/>
  <c r="K389" i="9"/>
  <c r="D392" i="9"/>
  <c r="D394" i="9"/>
  <c r="G388" i="9"/>
  <c r="D406" i="9"/>
  <c r="D409" i="9"/>
  <c r="D414" i="9"/>
  <c r="D418" i="9"/>
  <c r="D420" i="9"/>
  <c r="D421" i="9"/>
  <c r="D422" i="9"/>
  <c r="D424" i="9"/>
  <c r="D425" i="9"/>
  <c r="D432" i="9"/>
  <c r="D434" i="9"/>
  <c r="D438" i="9"/>
  <c r="D447" i="9"/>
  <c r="D449" i="9"/>
  <c r="E462" i="9"/>
  <c r="D465" i="9"/>
  <c r="D467" i="9"/>
  <c r="D469" i="9"/>
  <c r="D470" i="9"/>
  <c r="D472" i="9"/>
  <c r="D473" i="9"/>
  <c r="E479" i="9"/>
  <c r="D481" i="9"/>
  <c r="D496" i="9"/>
  <c r="U497" i="9"/>
  <c r="D507" i="9"/>
  <c r="K509" i="9"/>
  <c r="D513" i="9"/>
  <c r="D524" i="9"/>
  <c r="K526" i="9"/>
  <c r="D533" i="9"/>
  <c r="K539" i="9"/>
  <c r="D544" i="9"/>
  <c r="K545" i="9"/>
  <c r="D545" i="9" s="1"/>
  <c r="D547" i="9"/>
  <c r="E551" i="9"/>
  <c r="O551" i="9"/>
  <c r="D552" i="9"/>
  <c r="K554" i="9"/>
  <c r="D554" i="9" s="1"/>
  <c r="D558" i="9"/>
  <c r="D569" i="9"/>
  <c r="T10" i="10"/>
  <c r="E13" i="10"/>
  <c r="L24" i="10"/>
  <c r="E26" i="10"/>
  <c r="E34" i="10"/>
  <c r="E35" i="10"/>
  <c r="E45" i="10"/>
  <c r="E59" i="10"/>
  <c r="E70" i="10"/>
  <c r="E91" i="10"/>
  <c r="E93" i="10"/>
  <c r="E167" i="10"/>
  <c r="E181" i="10"/>
  <c r="E310" i="10"/>
  <c r="E29" i="17"/>
  <c r="E158" i="10"/>
  <c r="X150" i="10"/>
  <c r="E198" i="10"/>
  <c r="E202" i="10"/>
  <c r="E204" i="10"/>
  <c r="H150" i="10"/>
  <c r="E215" i="10"/>
  <c r="E216" i="10"/>
  <c r="E221" i="10"/>
  <c r="E241" i="10"/>
  <c r="E245" i="10"/>
  <c r="E246" i="10"/>
  <c r="E248" i="10"/>
  <c r="E252" i="10"/>
  <c r="E256" i="10"/>
  <c r="E261" i="10"/>
  <c r="E264" i="10"/>
  <c r="E266" i="10"/>
  <c r="E273" i="10"/>
  <c r="E276" i="10"/>
  <c r="E278" i="10"/>
  <c r="E286" i="10"/>
  <c r="E290" i="10"/>
  <c r="E291" i="10"/>
  <c r="E307" i="10"/>
  <c r="E308" i="10"/>
  <c r="E331" i="10"/>
  <c r="E333" i="10"/>
  <c r="E362" i="10"/>
  <c r="E363" i="10"/>
  <c r="E366" i="10"/>
  <c r="E368" i="10"/>
  <c r="E372" i="10"/>
  <c r="E374" i="10"/>
  <c r="E376" i="10"/>
  <c r="L379" i="10"/>
  <c r="E380" i="10"/>
  <c r="E383" i="10"/>
  <c r="E384" i="10"/>
  <c r="E389" i="10"/>
  <c r="E394" i="10"/>
  <c r="E396" i="10"/>
  <c r="E413" i="10"/>
  <c r="E414" i="10"/>
  <c r="E421" i="10"/>
  <c r="E422" i="10"/>
  <c r="E428" i="10"/>
  <c r="E430" i="10"/>
  <c r="E434" i="10"/>
  <c r="E436" i="10"/>
  <c r="E438" i="10"/>
  <c r="E441" i="10"/>
  <c r="E443" i="10"/>
  <c r="L445" i="10"/>
  <c r="E471" i="10"/>
  <c r="E472" i="10"/>
  <c r="E479" i="10"/>
  <c r="E481" i="10"/>
  <c r="E489" i="10"/>
  <c r="E491" i="10"/>
  <c r="E493" i="10"/>
  <c r="L499" i="10"/>
  <c r="E503" i="10"/>
  <c r="K505" i="10"/>
  <c r="E515" i="10"/>
  <c r="E518" i="10"/>
  <c r="E520" i="10"/>
  <c r="E522" i="10"/>
  <c r="E524" i="10"/>
  <c r="E537" i="10"/>
  <c r="E538" i="10"/>
  <c r="E540" i="10"/>
  <c r="C41" i="12"/>
  <c r="D46" i="12"/>
  <c r="E36" i="17"/>
  <c r="E50" i="17"/>
  <c r="E41" i="17"/>
  <c r="D41" i="21"/>
  <c r="E79" i="9"/>
  <c r="H53" i="9"/>
  <c r="F10" i="9"/>
  <c r="H10" i="9"/>
  <c r="K11" i="9"/>
  <c r="N10" i="9"/>
  <c r="K415" i="9"/>
  <c r="D231" i="9"/>
  <c r="O60" i="21"/>
  <c r="Q513" i="15"/>
  <c r="O57" i="21" s="1"/>
  <c r="O60" i="17"/>
  <c r="E11" i="9"/>
  <c r="D16" i="9"/>
  <c r="D28" i="9"/>
  <c r="I10" i="9"/>
  <c r="D41" i="9"/>
  <c r="D51" i="9"/>
  <c r="D56" i="9"/>
  <c r="D64" i="9"/>
  <c r="D72" i="9"/>
  <c r="D82" i="9"/>
  <c r="D90" i="9"/>
  <c r="G53" i="9"/>
  <c r="D105" i="9"/>
  <c r="E119" i="9"/>
  <c r="D119" i="9" s="1"/>
  <c r="D122" i="9"/>
  <c r="D125" i="9"/>
  <c r="D130" i="9"/>
  <c r="T150" i="9"/>
  <c r="D178" i="9"/>
  <c r="D186" i="9"/>
  <c r="U215" i="9"/>
  <c r="D233" i="9"/>
  <c r="D247" i="9"/>
  <c r="D249" i="9"/>
  <c r="D258" i="9"/>
  <c r="P266" i="9"/>
  <c r="D270" i="9"/>
  <c r="D278" i="9"/>
  <c r="D280" i="9"/>
  <c r="D288" i="9"/>
  <c r="D290" i="9"/>
  <c r="D297" i="9"/>
  <c r="D303" i="9"/>
  <c r="D305" i="9"/>
  <c r="D322" i="9"/>
  <c r="D327" i="9"/>
  <c r="E331" i="9"/>
  <c r="D351" i="9"/>
  <c r="K360" i="9"/>
  <c r="D365" i="9"/>
  <c r="D367" i="9"/>
  <c r="D370" i="9"/>
  <c r="D381" i="9"/>
  <c r="D383" i="9"/>
  <c r="N388" i="9"/>
  <c r="R388" i="9"/>
  <c r="V388" i="9"/>
  <c r="D398" i="9"/>
  <c r="Q388" i="9"/>
  <c r="U388" i="9"/>
  <c r="D408" i="9"/>
  <c r="D427" i="9"/>
  <c r="D442" i="9"/>
  <c r="D453" i="9"/>
  <c r="D476" i="9"/>
  <c r="D485" i="9"/>
  <c r="D489" i="9"/>
  <c r="O497" i="9"/>
  <c r="D517" i="9"/>
  <c r="O508" i="9"/>
  <c r="S508" i="9"/>
  <c r="W508" i="9"/>
  <c r="W9" i="9" s="1"/>
  <c r="E535" i="9"/>
  <c r="D540" i="9"/>
  <c r="K542" i="9"/>
  <c r="E543" i="9"/>
  <c r="D548" i="9"/>
  <c r="D562" i="9"/>
  <c r="I10" i="10"/>
  <c r="E37" i="10"/>
  <c r="O53" i="10"/>
  <c r="S53" i="10"/>
  <c r="L79" i="10"/>
  <c r="U356" i="10"/>
  <c r="L424" i="10"/>
  <c r="M412" i="10"/>
  <c r="L484" i="10"/>
  <c r="P483" i="10"/>
  <c r="L483" i="10" s="1"/>
  <c r="E44" i="17"/>
  <c r="E48" i="17"/>
  <c r="K173" i="9"/>
  <c r="D173" i="9" s="1"/>
  <c r="P508" i="9"/>
  <c r="N34" i="21"/>
  <c r="N34" i="17"/>
  <c r="C8" i="14"/>
  <c r="K54" i="9"/>
  <c r="K151" i="9"/>
  <c r="E164" i="9"/>
  <c r="K187" i="9"/>
  <c r="K215" i="9"/>
  <c r="D221" i="9"/>
  <c r="D253" i="9"/>
  <c r="D277" i="9"/>
  <c r="D287" i="9"/>
  <c r="D294" i="9"/>
  <c r="K299" i="9"/>
  <c r="D299" i="9" s="1"/>
  <c r="D300" i="9"/>
  <c r="D307" i="9"/>
  <c r="D309" i="9"/>
  <c r="D316" i="9"/>
  <c r="J319" i="9"/>
  <c r="E319" i="9" s="1"/>
  <c r="D321" i="9"/>
  <c r="D323" i="9"/>
  <c r="D326" i="9"/>
  <c r="D328" i="9"/>
  <c r="D332" i="9"/>
  <c r="D343" i="9"/>
  <c r="D357" i="9"/>
  <c r="D369" i="9"/>
  <c r="D371" i="9"/>
  <c r="N359" i="9"/>
  <c r="R359" i="9"/>
  <c r="V359" i="9"/>
  <c r="D384" i="9"/>
  <c r="D387" i="9"/>
  <c r="E389" i="9"/>
  <c r="D389" i="9" s="1"/>
  <c r="E395" i="9"/>
  <c r="D397" i="9"/>
  <c r="D399" i="9"/>
  <c r="D402" i="9"/>
  <c r="I388" i="9"/>
  <c r="E415" i="9"/>
  <c r="D426" i="9"/>
  <c r="D430" i="9"/>
  <c r="D441" i="9"/>
  <c r="D444" i="9"/>
  <c r="E448" i="9"/>
  <c r="D452" i="9"/>
  <c r="D454" i="9"/>
  <c r="D457" i="9"/>
  <c r="D461" i="9"/>
  <c r="D463" i="9"/>
  <c r="D475" i="9"/>
  <c r="D477" i="9"/>
  <c r="K479" i="9"/>
  <c r="D484" i="9"/>
  <c r="D490" i="9"/>
  <c r="D494" i="9"/>
  <c r="K498" i="9"/>
  <c r="K502" i="9"/>
  <c r="D505" i="9"/>
  <c r="M508" i="9"/>
  <c r="F509" i="9"/>
  <c r="E509" i="9" s="1"/>
  <c r="D509" i="9" s="1"/>
  <c r="D516" i="9"/>
  <c r="D518" i="9"/>
  <c r="D521" i="9"/>
  <c r="D527" i="9"/>
  <c r="D530" i="9"/>
  <c r="N508" i="9"/>
  <c r="R508" i="9"/>
  <c r="D541" i="9"/>
  <c r="K543" i="9"/>
  <c r="D549" i="9"/>
  <c r="Q551" i="9"/>
  <c r="K551" i="9" s="1"/>
  <c r="D551" i="9" s="1"/>
  <c r="D556" i="9"/>
  <c r="D561" i="9"/>
  <c r="D563" i="9"/>
  <c r="D566" i="9"/>
  <c r="E17" i="10"/>
  <c r="F24" i="10"/>
  <c r="E24" i="10" s="1"/>
  <c r="E32" i="10"/>
  <c r="O10" i="10"/>
  <c r="S10" i="10"/>
  <c r="W10" i="10"/>
  <c r="E38" i="10"/>
  <c r="E40" i="10"/>
  <c r="E42" i="10"/>
  <c r="E49" i="10"/>
  <c r="E66" i="10"/>
  <c r="E68" i="10"/>
  <c r="E75" i="10"/>
  <c r="P150" i="10"/>
  <c r="E268" i="10"/>
  <c r="Q265" i="10"/>
  <c r="L282" i="10"/>
  <c r="L542" i="10"/>
  <c r="E542" i="10" s="1"/>
  <c r="P541" i="10"/>
  <c r="E30" i="17"/>
  <c r="S9" i="9"/>
  <c r="T508" i="9"/>
  <c r="L535" i="10"/>
  <c r="D12" i="9"/>
  <c r="D20" i="9"/>
  <c r="K24" i="9"/>
  <c r="D32" i="9"/>
  <c r="D37" i="9"/>
  <c r="D45" i="9"/>
  <c r="L10" i="9"/>
  <c r="P10" i="9"/>
  <c r="T10" i="9"/>
  <c r="L53" i="9"/>
  <c r="E54" i="9"/>
  <c r="D54" i="9" s="1"/>
  <c r="D60" i="9"/>
  <c r="D68" i="9"/>
  <c r="D76" i="9"/>
  <c r="K79" i="9"/>
  <c r="D86" i="9"/>
  <c r="D94" i="9"/>
  <c r="N53" i="9"/>
  <c r="N9" i="9" s="1"/>
  <c r="R53" i="9"/>
  <c r="V53" i="9"/>
  <c r="D106" i="9"/>
  <c r="D121" i="9"/>
  <c r="D126" i="9"/>
  <c r="D129" i="9"/>
  <c r="D134" i="9"/>
  <c r="D137" i="9"/>
  <c r="D142" i="9"/>
  <c r="D145" i="9"/>
  <c r="E150" i="9"/>
  <c r="E151" i="9"/>
  <c r="D151" i="9" s="1"/>
  <c r="D165" i="9"/>
  <c r="D168" i="9"/>
  <c r="P150" i="9"/>
  <c r="D174" i="9"/>
  <c r="D179" i="9"/>
  <c r="D182" i="9"/>
  <c r="E187" i="9"/>
  <c r="D187" i="9" s="1"/>
  <c r="K210" i="9"/>
  <c r="D210" i="9" s="1"/>
  <c r="E215" i="9"/>
  <c r="D215" i="9" s="1"/>
  <c r="D220" i="9"/>
  <c r="D223" i="9"/>
  <c r="D226" i="9"/>
  <c r="D232" i="9"/>
  <c r="K235" i="9"/>
  <c r="D239" i="9"/>
  <c r="D241" i="9"/>
  <c r="D250" i="9"/>
  <c r="D255" i="9"/>
  <c r="D257" i="9"/>
  <c r="V266" i="9"/>
  <c r="D281" i="9"/>
  <c r="D291" i="9"/>
  <c r="D304" i="9"/>
  <c r="D311" i="9"/>
  <c r="D313" i="9"/>
  <c r="K319" i="9"/>
  <c r="D330" i="9"/>
  <c r="D333" i="9"/>
  <c r="D352" i="9"/>
  <c r="D354" i="9"/>
  <c r="D373" i="9"/>
  <c r="D375" i="9"/>
  <c r="J359" i="9"/>
  <c r="D386" i="9"/>
  <c r="D390" i="9"/>
  <c r="P388" i="9"/>
  <c r="T388" i="9"/>
  <c r="D401" i="9"/>
  <c r="D403" i="9"/>
  <c r="D416" i="9"/>
  <c r="D429" i="9"/>
  <c r="D431" i="9"/>
  <c r="K443" i="9"/>
  <c r="D443" i="9" s="1"/>
  <c r="D445" i="9"/>
  <c r="K448" i="9"/>
  <c r="D456" i="9"/>
  <c r="D458" i="9"/>
  <c r="K460" i="9"/>
  <c r="D460" i="9" s="1"/>
  <c r="D464" i="9"/>
  <c r="K471" i="9"/>
  <c r="D471" i="9" s="1"/>
  <c r="E486" i="9"/>
  <c r="K487" i="9"/>
  <c r="D487" i="9" s="1"/>
  <c r="D493" i="9"/>
  <c r="D495" i="9"/>
  <c r="D500" i="9"/>
  <c r="D504" i="9"/>
  <c r="D506" i="9"/>
  <c r="D520" i="9"/>
  <c r="D522" i="9"/>
  <c r="D529" i="9"/>
  <c r="D531" i="9"/>
  <c r="D536" i="9"/>
  <c r="J508" i="9"/>
  <c r="J9" i="9" s="1"/>
  <c r="D546" i="9"/>
  <c r="D553" i="9"/>
  <c r="D555" i="9"/>
  <c r="D557" i="9"/>
  <c r="D565" i="9"/>
  <c r="D567" i="9"/>
  <c r="E23" i="10"/>
  <c r="E25" i="10"/>
  <c r="E27" i="10"/>
  <c r="E29" i="10"/>
  <c r="E38" i="17"/>
  <c r="E87" i="10"/>
  <c r="E96" i="10"/>
  <c r="E102" i="10"/>
  <c r="E108" i="10"/>
  <c r="E112" i="10"/>
  <c r="E114" i="10"/>
  <c r="E136" i="10"/>
  <c r="E145" i="10"/>
  <c r="J150" i="10"/>
  <c r="E153" i="10"/>
  <c r="E155" i="10"/>
  <c r="E157" i="10"/>
  <c r="E166" i="10"/>
  <c r="E168" i="10"/>
  <c r="E190" i="10"/>
  <c r="E199" i="10"/>
  <c r="E201" i="10"/>
  <c r="E203" i="10"/>
  <c r="E205" i="10"/>
  <c r="E224" i="10"/>
  <c r="E237" i="10"/>
  <c r="E239" i="10"/>
  <c r="E260" i="10"/>
  <c r="E263" i="10"/>
  <c r="L271" i="10"/>
  <c r="E271" i="10" s="1"/>
  <c r="E280" i="10"/>
  <c r="E283" i="10"/>
  <c r="E285" i="10"/>
  <c r="E288" i="10"/>
  <c r="E294" i="10"/>
  <c r="O265" i="10"/>
  <c r="W265" i="10"/>
  <c r="E300" i="10"/>
  <c r="E302" i="10"/>
  <c r="E305" i="10"/>
  <c r="E311" i="10"/>
  <c r="E330" i="10"/>
  <c r="E336" i="10"/>
  <c r="E338" i="10"/>
  <c r="E341" i="10"/>
  <c r="E347" i="10"/>
  <c r="E349" i="10"/>
  <c r="E358" i="10"/>
  <c r="E360" i="10"/>
  <c r="E370" i="10"/>
  <c r="E378" i="10"/>
  <c r="O385" i="10"/>
  <c r="S385" i="10"/>
  <c r="W385" i="10"/>
  <c r="E388" i="10"/>
  <c r="E391" i="10"/>
  <c r="E398" i="10"/>
  <c r="E406" i="10"/>
  <c r="E415" i="10"/>
  <c r="E417" i="10"/>
  <c r="E419" i="10"/>
  <c r="E432" i="10"/>
  <c r="E447" i="10"/>
  <c r="E461" i="10"/>
  <c r="E464" i="10"/>
  <c r="E466" i="10"/>
  <c r="E477" i="10"/>
  <c r="E490" i="10"/>
  <c r="E492" i="10"/>
  <c r="L495" i="10"/>
  <c r="E504" i="10"/>
  <c r="E517" i="10"/>
  <c r="E519" i="10"/>
  <c r="E521" i="10"/>
  <c r="F525" i="10"/>
  <c r="X505" i="10"/>
  <c r="E531" i="10"/>
  <c r="C8" i="13"/>
  <c r="H53" i="10"/>
  <c r="K150" i="10"/>
  <c r="T150" i="10"/>
  <c r="F392" i="10"/>
  <c r="P385" i="10"/>
  <c r="T385" i="10"/>
  <c r="X385" i="10"/>
  <c r="F445" i="10"/>
  <c r="E445" i="10" s="1"/>
  <c r="C46" i="12"/>
  <c r="D24" i="21"/>
  <c r="F395" i="15"/>
  <c r="E61" i="10"/>
  <c r="E63" i="10"/>
  <c r="E65" i="10"/>
  <c r="E67" i="10"/>
  <c r="E69" i="10"/>
  <c r="E76" i="10"/>
  <c r="E82" i="10"/>
  <c r="E84" i="10"/>
  <c r="E88" i="10"/>
  <c r="E90" i="10"/>
  <c r="E103" i="10"/>
  <c r="E105" i="10"/>
  <c r="E107" i="10"/>
  <c r="E109" i="10"/>
  <c r="E111" i="10"/>
  <c r="E120" i="10"/>
  <c r="E122" i="10"/>
  <c r="E137" i="10"/>
  <c r="E154" i="10"/>
  <c r="E163" i="10"/>
  <c r="L173" i="10"/>
  <c r="E173" i="10" s="1"/>
  <c r="E175" i="10"/>
  <c r="E189" i="10"/>
  <c r="E191" i="10"/>
  <c r="E193" i="10"/>
  <c r="E238" i="10"/>
  <c r="E240" i="10"/>
  <c r="E243" i="10"/>
  <c r="E249" i="10"/>
  <c r="E253" i="10"/>
  <c r="E270" i="10"/>
  <c r="E275" i="10"/>
  <c r="E281" i="10"/>
  <c r="E299" i="10"/>
  <c r="E312" i="10"/>
  <c r="E314" i="10"/>
  <c r="E321" i="10"/>
  <c r="E323" i="10"/>
  <c r="E325" i="10"/>
  <c r="E335" i="10"/>
  <c r="E371" i="10"/>
  <c r="E381" i="10"/>
  <c r="E387" i="10"/>
  <c r="E399" i="10"/>
  <c r="E407" i="10"/>
  <c r="E409" i="10"/>
  <c r="E411" i="10"/>
  <c r="E433" i="10"/>
  <c r="E448" i="10"/>
  <c r="E451" i="10"/>
  <c r="E453" i="10"/>
  <c r="L459" i="10"/>
  <c r="E478" i="10"/>
  <c r="E480" i="10"/>
  <c r="E482" i="10"/>
  <c r="E501" i="10"/>
  <c r="E509" i="10"/>
  <c r="E44" i="26"/>
  <c r="D47" i="26"/>
  <c r="F11" i="10"/>
  <c r="E11" i="10" s="1"/>
  <c r="L11" i="10"/>
  <c r="P10" i="10"/>
  <c r="X10" i="10"/>
  <c r="E15" i="10"/>
  <c r="E22" i="10"/>
  <c r="E31" i="10"/>
  <c r="E33" i="10"/>
  <c r="L36" i="10"/>
  <c r="E44" i="10"/>
  <c r="E46" i="10"/>
  <c r="R10" i="10"/>
  <c r="V10" i="10"/>
  <c r="E55" i="10"/>
  <c r="E57" i="10"/>
  <c r="E60" i="10"/>
  <c r="E71" i="10"/>
  <c r="E73" i="10"/>
  <c r="E80" i="10"/>
  <c r="E85" i="10"/>
  <c r="E92" i="10"/>
  <c r="E94" i="10"/>
  <c r="E101" i="10"/>
  <c r="E106" i="10"/>
  <c r="E118" i="10"/>
  <c r="I53" i="10"/>
  <c r="E129" i="10"/>
  <c r="E131" i="10"/>
  <c r="E139" i="10"/>
  <c r="E141" i="10"/>
  <c r="E143" i="10"/>
  <c r="E152" i="10"/>
  <c r="E159" i="10"/>
  <c r="E161" i="10"/>
  <c r="E165" i="10"/>
  <c r="E169" i="10"/>
  <c r="E172" i="10"/>
  <c r="E182" i="10"/>
  <c r="E184" i="10"/>
  <c r="E195" i="10"/>
  <c r="E197" i="10"/>
  <c r="E200" i="10"/>
  <c r="E210" i="10"/>
  <c r="E212" i="10"/>
  <c r="E223" i="10"/>
  <c r="E225" i="10"/>
  <c r="J10" i="10"/>
  <c r="Q150" i="10"/>
  <c r="U150" i="10"/>
  <c r="E50" i="10"/>
  <c r="J53" i="10"/>
  <c r="P53" i="10"/>
  <c r="T53" i="10"/>
  <c r="X53" i="10"/>
  <c r="E110" i="10"/>
  <c r="W150" i="10"/>
  <c r="E156" i="10"/>
  <c r="O164" i="10"/>
  <c r="O150" i="10" s="1"/>
  <c r="E179" i="10"/>
  <c r="E192" i="10"/>
  <c r="I150" i="10"/>
  <c r="K10" i="10"/>
  <c r="K9" i="10" s="1"/>
  <c r="E56" i="10"/>
  <c r="E81" i="10"/>
  <c r="E86" i="10"/>
  <c r="Q53" i="10"/>
  <c r="U53" i="10"/>
  <c r="E130" i="10"/>
  <c r="F151" i="10"/>
  <c r="E160" i="10"/>
  <c r="F164" i="10"/>
  <c r="R150" i="10"/>
  <c r="E183" i="10"/>
  <c r="F187" i="10"/>
  <c r="E196" i="10"/>
  <c r="F214" i="10"/>
  <c r="F265" i="10"/>
  <c r="E228" i="10"/>
  <c r="E236" i="10"/>
  <c r="E250" i="10"/>
  <c r="E258" i="10"/>
  <c r="E269" i="10"/>
  <c r="E272" i="10"/>
  <c r="E277" i="10"/>
  <c r="E279" i="10"/>
  <c r="E282" i="10"/>
  <c r="E287" i="10"/>
  <c r="E289" i="10"/>
  <c r="E292" i="10"/>
  <c r="L296" i="10"/>
  <c r="E297" i="10"/>
  <c r="E304" i="10"/>
  <c r="E306" i="10"/>
  <c r="F328" i="10"/>
  <c r="E332" i="10"/>
  <c r="E334" i="10"/>
  <c r="E337" i="10"/>
  <c r="E348" i="10"/>
  <c r="E350" i="10"/>
  <c r="O356" i="10"/>
  <c r="S356" i="10"/>
  <c r="W356" i="10"/>
  <c r="E359" i="10"/>
  <c r="E361" i="10"/>
  <c r="E373" i="10"/>
  <c r="E375" i="10"/>
  <c r="E377" i="10"/>
  <c r="J356" i="10"/>
  <c r="N356" i="10"/>
  <c r="R356" i="10"/>
  <c r="V356" i="10"/>
  <c r="E382" i="10"/>
  <c r="E393" i="10"/>
  <c r="E395" i="10"/>
  <c r="E397" i="10"/>
  <c r="L402" i="10"/>
  <c r="E416" i="10"/>
  <c r="E418" i="10"/>
  <c r="E420" i="10"/>
  <c r="E435" i="10"/>
  <c r="E437" i="10"/>
  <c r="E439" i="10"/>
  <c r="E442" i="10"/>
  <c r="E446" i="10"/>
  <c r="F463" i="10"/>
  <c r="F476" i="10"/>
  <c r="E484" i="10"/>
  <c r="E487" i="10"/>
  <c r="E499" i="10"/>
  <c r="E511" i="10"/>
  <c r="E513" i="10"/>
  <c r="J505" i="10"/>
  <c r="P505" i="10"/>
  <c r="T505" i="10"/>
  <c r="E526" i="10"/>
  <c r="F529" i="10"/>
  <c r="E534" i="10"/>
  <c r="E539" i="10"/>
  <c r="E549" i="10"/>
  <c r="L328" i="10"/>
  <c r="F357" i="10"/>
  <c r="N385" i="10"/>
  <c r="R385" i="10"/>
  <c r="V385" i="10"/>
  <c r="F412" i="10"/>
  <c r="F459" i="10"/>
  <c r="E470" i="10"/>
  <c r="E474" i="10"/>
  <c r="L476" i="10"/>
  <c r="E486" i="10"/>
  <c r="E488" i="10"/>
  <c r="F494" i="10"/>
  <c r="E510" i="10"/>
  <c r="E512" i="10"/>
  <c r="E514" i="10"/>
  <c r="F523" i="10"/>
  <c r="F532" i="10"/>
  <c r="F541" i="10"/>
  <c r="F544" i="10"/>
  <c r="E544" i="10" s="1"/>
  <c r="E231" i="10"/>
  <c r="L234" i="10"/>
  <c r="E234" i="10" s="1"/>
  <c r="E242" i="10"/>
  <c r="E244" i="10"/>
  <c r="E247" i="10"/>
  <c r="E254" i="10"/>
  <c r="E262" i="10"/>
  <c r="E267" i="10"/>
  <c r="E274" i="10"/>
  <c r="E284" i="10"/>
  <c r="L316" i="10"/>
  <c r="E316" i="10" s="1"/>
  <c r="E317" i="10"/>
  <c r="E322" i="10"/>
  <c r="E327" i="10"/>
  <c r="E329" i="10"/>
  <c r="E340" i="10"/>
  <c r="E342" i="10"/>
  <c r="E345" i="10"/>
  <c r="E355" i="10"/>
  <c r="M356" i="10"/>
  <c r="E365" i="10"/>
  <c r="E367" i="10"/>
  <c r="E369" i="10"/>
  <c r="H356" i="10"/>
  <c r="P356" i="10"/>
  <c r="T356" i="10"/>
  <c r="X356" i="10"/>
  <c r="L386" i="10"/>
  <c r="E390" i="10"/>
  <c r="E401" i="10"/>
  <c r="E405" i="10"/>
  <c r="E408" i="10"/>
  <c r="E410" i="10"/>
  <c r="E424" i="10"/>
  <c r="E427" i="10"/>
  <c r="E429" i="10"/>
  <c r="E431" i="10"/>
  <c r="E450" i="10"/>
  <c r="E452" i="10"/>
  <c r="E454" i="10"/>
  <c r="E460" i="10"/>
  <c r="E462" i="10"/>
  <c r="E465" i="10"/>
  <c r="E467" i="10"/>
  <c r="E473" i="10"/>
  <c r="E475" i="10"/>
  <c r="F483" i="10"/>
  <c r="E495" i="10"/>
  <c r="I505" i="10"/>
  <c r="I9" i="10" s="1"/>
  <c r="E516" i="10"/>
  <c r="U505" i="10"/>
  <c r="H505" i="10"/>
  <c r="N505" i="10"/>
  <c r="R505" i="10"/>
  <c r="V505" i="10"/>
  <c r="E530" i="10"/>
  <c r="L532" i="10"/>
  <c r="F533" i="10"/>
  <c r="F535" i="10"/>
  <c r="E535" i="10" s="1"/>
  <c r="E548" i="10"/>
  <c r="E33" i="17"/>
  <c r="E58" i="21"/>
  <c r="F325" i="15"/>
  <c r="E23" i="21"/>
  <c r="D23" i="21" s="1"/>
  <c r="K35" i="21"/>
  <c r="D35" i="21" s="1"/>
  <c r="T17" i="17"/>
  <c r="T17" i="21"/>
  <c r="T16" i="21" s="1"/>
  <c r="S17" i="17"/>
  <c r="S17" i="21"/>
  <c r="R17" i="17"/>
  <c r="R17" i="21"/>
  <c r="R16" i="21" s="1"/>
  <c r="Q60" i="21"/>
  <c r="V48" i="21"/>
  <c r="E57" i="21"/>
  <c r="G17" i="17"/>
  <c r="G17" i="21"/>
  <c r="G16" i="21" s="1"/>
  <c r="D50" i="21"/>
  <c r="D42" i="21"/>
  <c r="D26" i="21"/>
  <c r="D33" i="21"/>
  <c r="E18" i="21"/>
  <c r="D18" i="21" s="1"/>
  <c r="D55" i="21"/>
  <c r="D59" i="21"/>
  <c r="L17" i="17"/>
  <c r="L17" i="21"/>
  <c r="P17" i="17"/>
  <c r="P17" i="21"/>
  <c r="P16" i="21" s="1"/>
  <c r="O17" i="17"/>
  <c r="O17" i="21"/>
  <c r="U17" i="17"/>
  <c r="U17" i="21"/>
  <c r="U16" i="21" s="1"/>
  <c r="F53" i="21"/>
  <c r="E53" i="21" s="1"/>
  <c r="D53" i="21" s="1"/>
  <c r="S44" i="21"/>
  <c r="F43" i="21"/>
  <c r="E43" i="21" s="1"/>
  <c r="D43" i="21" s="1"/>
  <c r="E27" i="21"/>
  <c r="F17" i="17"/>
  <c r="F17" i="21"/>
  <c r="D49" i="21"/>
  <c r="D39" i="21"/>
  <c r="D21" i="21"/>
  <c r="D30" i="21"/>
  <c r="D36" i="21"/>
  <c r="D56" i="21"/>
  <c r="K45" i="21"/>
  <c r="D45" i="21" s="1"/>
  <c r="Q17" i="17"/>
  <c r="Q17" i="21"/>
  <c r="V17" i="17"/>
  <c r="V17" i="21"/>
  <c r="W17" i="17"/>
  <c r="W17" i="21"/>
  <c r="W16" i="21" s="1"/>
  <c r="I17" i="17"/>
  <c r="I17" i="21"/>
  <c r="I16" i="21" s="1"/>
  <c r="E22" i="21"/>
  <c r="D46" i="21"/>
  <c r="D32" i="21"/>
  <c r="D20" i="21"/>
  <c r="D38" i="21"/>
  <c r="D58" i="21"/>
  <c r="D61" i="21"/>
  <c r="K47" i="21"/>
  <c r="D47" i="21" s="1"/>
  <c r="K19" i="17"/>
  <c r="K19" i="21"/>
  <c r="D19" i="21" s="1"/>
  <c r="M17" i="17"/>
  <c r="M17" i="21"/>
  <c r="M16" i="21" s="1"/>
  <c r="N17" i="17"/>
  <c r="N17" i="21"/>
  <c r="N16" i="21" s="1"/>
  <c r="H37" i="21"/>
  <c r="E37" i="21" s="1"/>
  <c r="J16" i="21"/>
  <c r="H17" i="17"/>
  <c r="H17" i="21"/>
  <c r="D28" i="21"/>
  <c r="E46" i="17"/>
  <c r="E42" i="17"/>
  <c r="E31" i="17"/>
  <c r="E61" i="17"/>
  <c r="E60" i="17"/>
  <c r="E56" i="17"/>
  <c r="E55" i="17"/>
  <c r="E54" i="17"/>
  <c r="E28" i="17"/>
  <c r="E26" i="17"/>
  <c r="E45" i="17"/>
  <c r="E51" i="17"/>
  <c r="O52" i="17"/>
  <c r="N52" i="17"/>
  <c r="O57" i="17"/>
  <c r="K31" i="17"/>
  <c r="K54" i="17"/>
  <c r="K42" i="17"/>
  <c r="K59" i="17"/>
  <c r="M52" i="17"/>
  <c r="F34" i="15"/>
  <c r="W52" i="17"/>
  <c r="K46" i="17"/>
  <c r="P52" i="17"/>
  <c r="R52" i="17"/>
  <c r="S52" i="17"/>
  <c r="J35" i="17"/>
  <c r="E35" i="17" s="1"/>
  <c r="I52" i="17"/>
  <c r="J52" i="17"/>
  <c r="H52" i="17"/>
  <c r="M57" i="17"/>
  <c r="V57" i="17"/>
  <c r="E58" i="17"/>
  <c r="T57" i="17"/>
  <c r="L57" i="17"/>
  <c r="K58" i="17"/>
  <c r="K25" i="17"/>
  <c r="H57" i="17"/>
  <c r="F57" i="17"/>
  <c r="K55" i="17"/>
  <c r="D55" i="17" s="1"/>
  <c r="M522" i="15"/>
  <c r="K60" i="21" s="1"/>
  <c r="D60" i="21" s="1"/>
  <c r="K41" i="17"/>
  <c r="K61" i="17"/>
  <c r="U52" i="17"/>
  <c r="T52" i="17"/>
  <c r="W57" i="17"/>
  <c r="N57" i="17"/>
  <c r="P57" i="17"/>
  <c r="G57" i="17"/>
  <c r="E47" i="17"/>
  <c r="G52" i="17"/>
  <c r="R57" i="17"/>
  <c r="L52" i="17"/>
  <c r="K53" i="17"/>
  <c r="Q52" i="17"/>
  <c r="K56" i="17"/>
  <c r="V52" i="17"/>
  <c r="U57" i="17"/>
  <c r="S57" i="17"/>
  <c r="I57" i="17"/>
  <c r="J57" i="17"/>
  <c r="E20" i="17"/>
  <c r="E19" i="17"/>
  <c r="E21" i="17"/>
  <c r="E59" i="17"/>
  <c r="V51" i="17"/>
  <c r="R51" i="17"/>
  <c r="V50" i="17"/>
  <c r="O50" i="17"/>
  <c r="K50" i="17"/>
  <c r="D50" i="17" s="1"/>
  <c r="K49" i="17"/>
  <c r="D49" i="17" s="1"/>
  <c r="R40" i="17"/>
  <c r="L40" i="17"/>
  <c r="I40" i="17"/>
  <c r="S40" i="17"/>
  <c r="H40" i="17"/>
  <c r="K43" i="17"/>
  <c r="N40" i="17"/>
  <c r="W40" i="17"/>
  <c r="O40" i="17"/>
  <c r="U40" i="17"/>
  <c r="T40" i="17"/>
  <c r="G40" i="17"/>
  <c r="J40" i="17"/>
  <c r="Q40" i="17"/>
  <c r="V40" i="17"/>
  <c r="P40" i="17"/>
  <c r="M40" i="17"/>
  <c r="K39" i="17"/>
  <c r="E39" i="17"/>
  <c r="K38" i="17"/>
  <c r="D38" i="17" s="1"/>
  <c r="T37" i="17"/>
  <c r="V37" i="17"/>
  <c r="F37" i="17"/>
  <c r="L37" i="17"/>
  <c r="R37" i="17"/>
  <c r="U37" i="17"/>
  <c r="W37" i="17"/>
  <c r="N37" i="17"/>
  <c r="Q37" i="17"/>
  <c r="P37" i="17"/>
  <c r="S37" i="17"/>
  <c r="M37" i="17"/>
  <c r="O37" i="17"/>
  <c r="G37" i="17"/>
  <c r="J37" i="17"/>
  <c r="I37" i="17"/>
  <c r="K36" i="17"/>
  <c r="D36" i="17" s="1"/>
  <c r="K33" i="17"/>
  <c r="K32" i="17"/>
  <c r="D32" i="17" s="1"/>
  <c r="K30" i="17"/>
  <c r="D30" i="17" s="1"/>
  <c r="L29" i="17"/>
  <c r="M27" i="17"/>
  <c r="W27" i="17"/>
  <c r="V27" i="17"/>
  <c r="F27" i="17"/>
  <c r="N27" i="17"/>
  <c r="T27" i="17"/>
  <c r="R27" i="17"/>
  <c r="O27" i="17"/>
  <c r="Q27" i="17"/>
  <c r="U27" i="17"/>
  <c r="K28" i="17"/>
  <c r="D28" i="17" s="1"/>
  <c r="P27" i="17"/>
  <c r="S27" i="17"/>
  <c r="I27" i="17"/>
  <c r="J27" i="17"/>
  <c r="G27" i="17"/>
  <c r="H27" i="17"/>
  <c r="K26" i="17"/>
  <c r="D26" i="17" s="1"/>
  <c r="E24" i="17"/>
  <c r="K24" i="17"/>
  <c r="F52" i="15"/>
  <c r="T22" i="17"/>
  <c r="M22" i="17"/>
  <c r="N22" i="17"/>
  <c r="V22" i="17"/>
  <c r="I22" i="17"/>
  <c r="G22" i="17"/>
  <c r="L22" i="17"/>
  <c r="P22" i="17"/>
  <c r="W22" i="17"/>
  <c r="J22" i="17"/>
  <c r="O22" i="17"/>
  <c r="S22" i="17"/>
  <c r="K23" i="17"/>
  <c r="U22" i="17"/>
  <c r="R22" i="17"/>
  <c r="Q22" i="17"/>
  <c r="H22" i="17"/>
  <c r="F22" i="17"/>
  <c r="K21" i="17"/>
  <c r="D21" i="17" s="1"/>
  <c r="K20" i="17"/>
  <c r="J17" i="17"/>
  <c r="K18" i="17"/>
  <c r="J8" i="15"/>
  <c r="H37" i="17"/>
  <c r="G513" i="15"/>
  <c r="E18" i="17"/>
  <c r="F313" i="15"/>
  <c r="K35" i="17"/>
  <c r="F428" i="15"/>
  <c r="K45" i="17"/>
  <c r="F77" i="15"/>
  <c r="S513" i="15"/>
  <c r="Q57" i="21" s="1"/>
  <c r="Q60" i="17"/>
  <c r="M446" i="15"/>
  <c r="V48" i="17"/>
  <c r="D25" i="17"/>
  <c r="H487" i="15"/>
  <c r="F53" i="17"/>
  <c r="E53" i="17" s="1"/>
  <c r="M405" i="15"/>
  <c r="S44" i="17"/>
  <c r="H379" i="15"/>
  <c r="H8" i="15" s="1"/>
  <c r="F43" i="17"/>
  <c r="E43" i="17" s="1"/>
  <c r="D58" i="17"/>
  <c r="E23" i="17"/>
  <c r="F442" i="15"/>
  <c r="K47" i="17"/>
  <c r="K8" i="15"/>
  <c r="M513" i="15"/>
  <c r="K57" i="21" s="1"/>
  <c r="F22" i="15"/>
  <c r="L8" i="15"/>
  <c r="I8" i="15"/>
  <c r="F458" i="15"/>
  <c r="F287" i="15"/>
  <c r="F354" i="15"/>
  <c r="F10" i="15"/>
  <c r="M263" i="15"/>
  <c r="M379" i="15"/>
  <c r="K40" i="21" s="1"/>
  <c r="V8" i="15"/>
  <c r="U8" i="15"/>
  <c r="R8" i="15"/>
  <c r="T8" i="15"/>
  <c r="X8" i="15"/>
  <c r="W8" i="15"/>
  <c r="O8" i="15"/>
  <c r="P8" i="15"/>
  <c r="Y8" i="15"/>
  <c r="F522" i="15"/>
  <c r="F510" i="15"/>
  <c r="F212" i="15"/>
  <c r="F232" i="15"/>
  <c r="F117" i="15"/>
  <c r="F440" i="15"/>
  <c r="F465" i="15"/>
  <c r="F96" i="15"/>
  <c r="F185" i="15"/>
  <c r="F46" i="15"/>
  <c r="F504" i="15"/>
  <c r="M353" i="15"/>
  <c r="K37" i="21" s="1"/>
  <c r="G51" i="15"/>
  <c r="G9" i="15"/>
  <c r="F514" i="15"/>
  <c r="M51" i="15"/>
  <c r="K22" i="21" s="1"/>
  <c r="F488" i="15"/>
  <c r="M9" i="15"/>
  <c r="K17" i="21" s="1"/>
  <c r="F373" i="15"/>
  <c r="F516" i="15"/>
  <c r="F380" i="15"/>
  <c r="M487" i="15"/>
  <c r="K52" i="21" s="1"/>
  <c r="F385" i="15"/>
  <c r="F204" i="15"/>
  <c r="F506" i="15"/>
  <c r="F525" i="15"/>
  <c r="G353" i="15"/>
  <c r="M162" i="15"/>
  <c r="N148" i="15"/>
  <c r="M476" i="15"/>
  <c r="D12" i="12"/>
  <c r="D6" i="12" s="1"/>
  <c r="X6" i="12"/>
  <c r="N12" i="12"/>
  <c r="N18" i="12"/>
  <c r="C18" i="12" s="1"/>
  <c r="V6" i="12"/>
  <c r="E19" i="10"/>
  <c r="E28" i="10"/>
  <c r="E41" i="10"/>
  <c r="N53" i="10"/>
  <c r="E64" i="10"/>
  <c r="E97" i="10"/>
  <c r="E126" i="10"/>
  <c r="E138" i="10"/>
  <c r="L468" i="10"/>
  <c r="E468" i="10" s="1"/>
  <c r="W463" i="10"/>
  <c r="L463" i="10" s="1"/>
  <c r="E463" i="10" s="1"/>
  <c r="W525" i="10"/>
  <c r="W505" i="10" s="1"/>
  <c r="L527" i="10"/>
  <c r="E527" i="10" s="1"/>
  <c r="L206" i="10"/>
  <c r="M150" i="10"/>
  <c r="H10" i="10"/>
  <c r="F119" i="10"/>
  <c r="L151" i="10"/>
  <c r="E151" i="10" s="1"/>
  <c r="L164" i="10"/>
  <c r="E164" i="10" s="1"/>
  <c r="L187" i="10"/>
  <c r="E187" i="10" s="1"/>
  <c r="L218" i="10"/>
  <c r="E218" i="10" s="1"/>
  <c r="W214" i="10"/>
  <c r="V214" i="10"/>
  <c r="L220" i="10"/>
  <c r="E220" i="10" s="1"/>
  <c r="L48" i="10"/>
  <c r="E48" i="10" s="1"/>
  <c r="N10" i="10"/>
  <c r="F79" i="10"/>
  <c r="E79" i="10" s="1"/>
  <c r="F36" i="10"/>
  <c r="G10" i="10"/>
  <c r="E54" i="10"/>
  <c r="E72" i="10"/>
  <c r="E89" i="10"/>
  <c r="F98" i="10"/>
  <c r="E98" i="10" s="1"/>
  <c r="L119" i="10"/>
  <c r="M53" i="10"/>
  <c r="E134" i="10"/>
  <c r="E146" i="10"/>
  <c r="F206" i="10"/>
  <c r="E217" i="10"/>
  <c r="E219" i="10"/>
  <c r="E229" i="10"/>
  <c r="E235" i="10"/>
  <c r="E251" i="10"/>
  <c r="E259" i="10"/>
  <c r="E301" i="10"/>
  <c r="E313" i="10"/>
  <c r="L498" i="10"/>
  <c r="E498" i="10" s="1"/>
  <c r="P494" i="10"/>
  <c r="L265" i="10"/>
  <c r="E265" i="10" s="1"/>
  <c r="E230" i="10"/>
  <c r="E255" i="10"/>
  <c r="E296" i="10"/>
  <c r="E309" i="10"/>
  <c r="E319" i="10"/>
  <c r="E324" i="10"/>
  <c r="Q385" i="10"/>
  <c r="L385" i="10" s="1"/>
  <c r="X412" i="10"/>
  <c r="X9" i="10" s="1"/>
  <c r="L440" i="10"/>
  <c r="E440" i="10" s="1"/>
  <c r="F507" i="10"/>
  <c r="E507" i="10" s="1"/>
  <c r="G506" i="10"/>
  <c r="S505" i="10"/>
  <c r="S9" i="10" s="1"/>
  <c r="L357" i="10"/>
  <c r="F457" i="10"/>
  <c r="L523" i="10"/>
  <c r="E523" i="10" s="1"/>
  <c r="M525" i="10"/>
  <c r="L525" i="10" s="1"/>
  <c r="E525" i="10" s="1"/>
  <c r="L528" i="10"/>
  <c r="E528" i="10" s="1"/>
  <c r="L529" i="10"/>
  <c r="E529" i="10" s="1"/>
  <c r="L533" i="10"/>
  <c r="G356" i="10"/>
  <c r="F356" i="10" s="1"/>
  <c r="F379" i="10"/>
  <c r="E379" i="10" s="1"/>
  <c r="F386" i="10"/>
  <c r="L392" i="10"/>
  <c r="E392" i="10" s="1"/>
  <c r="G402" i="10"/>
  <c r="E404" i="10"/>
  <c r="L425" i="10"/>
  <c r="E425" i="10" s="1"/>
  <c r="T412" i="10"/>
  <c r="L412" i="10" s="1"/>
  <c r="E412" i="10" s="1"/>
  <c r="L457" i="10"/>
  <c r="E485" i="10"/>
  <c r="W494" i="10"/>
  <c r="L506" i="10"/>
  <c r="L543" i="10"/>
  <c r="E543" i="10" s="1"/>
  <c r="R541" i="10"/>
  <c r="L541" i="10" s="1"/>
  <c r="E541" i="10" s="1"/>
  <c r="E469" i="10"/>
  <c r="E464" i="8"/>
  <c r="E460" i="8"/>
  <c r="X488" i="8"/>
  <c r="T488" i="8"/>
  <c r="P488" i="8"/>
  <c r="L526" i="8"/>
  <c r="L374" i="8"/>
  <c r="L429" i="8"/>
  <c r="L443" i="8"/>
  <c r="E520" i="8"/>
  <c r="E508" i="8"/>
  <c r="L441" i="8"/>
  <c r="L459" i="8"/>
  <c r="F511" i="8"/>
  <c r="L511" i="8"/>
  <c r="F526" i="8"/>
  <c r="L314" i="8"/>
  <c r="L355" i="8"/>
  <c r="L489" i="8"/>
  <c r="H488" i="8"/>
  <c r="V488" i="8"/>
  <c r="R488" i="8"/>
  <c r="L505" i="8"/>
  <c r="F517" i="8"/>
  <c r="F523" i="8"/>
  <c r="L386" i="8"/>
  <c r="L396" i="8"/>
  <c r="F505" i="8"/>
  <c r="J488" i="8"/>
  <c r="L186" i="8"/>
  <c r="D24" i="9"/>
  <c r="D79" i="9"/>
  <c r="E53" i="9"/>
  <c r="D11" i="9"/>
  <c r="D36" i="9"/>
  <c r="M10" i="9"/>
  <c r="K48" i="9"/>
  <c r="E98" i="9"/>
  <c r="D102" i="9"/>
  <c r="K207" i="9"/>
  <c r="D284" i="9"/>
  <c r="E48" i="9"/>
  <c r="K98" i="9"/>
  <c r="D207" i="9"/>
  <c r="D235" i="9"/>
  <c r="L150" i="9"/>
  <c r="K164" i="9"/>
  <c r="D164" i="9" s="1"/>
  <c r="D272" i="9"/>
  <c r="Q331" i="9"/>
  <c r="Q9" i="9" s="1"/>
  <c r="D356" i="9"/>
  <c r="K405" i="9"/>
  <c r="M388" i="9"/>
  <c r="D410" i="9"/>
  <c r="K462" i="9"/>
  <c r="D462" i="9" s="1"/>
  <c r="D360" i="9"/>
  <c r="L388" i="9"/>
  <c r="K395" i="9"/>
  <c r="D395" i="9" s="1"/>
  <c r="F405" i="9"/>
  <c r="E405" i="9" s="1"/>
  <c r="D405" i="9" s="1"/>
  <c r="E407" i="9"/>
  <c r="D407" i="9" s="1"/>
  <c r="L535" i="9"/>
  <c r="K538" i="9"/>
  <c r="D538" i="9" s="1"/>
  <c r="E542" i="9"/>
  <c r="D542" i="9" s="1"/>
  <c r="D348" i="9"/>
  <c r="D479" i="9"/>
  <c r="O486" i="9"/>
  <c r="K486" i="9" s="1"/>
  <c r="D498" i="9"/>
  <c r="D502" i="9"/>
  <c r="F359" i="9"/>
  <c r="E359" i="9" s="1"/>
  <c r="E382" i="9"/>
  <c r="D382" i="9" s="1"/>
  <c r="E526" i="9"/>
  <c r="D526" i="9" s="1"/>
  <c r="G508" i="9"/>
  <c r="G9" i="9" s="1"/>
  <c r="V535" i="9"/>
  <c r="V508" i="9" s="1"/>
  <c r="K537" i="9"/>
  <c r="D537" i="9" s="1"/>
  <c r="F508" i="9"/>
  <c r="E539" i="9"/>
  <c r="D539" i="9" s="1"/>
  <c r="F388" i="9"/>
  <c r="E388" i="9" s="1"/>
  <c r="V466" i="9"/>
  <c r="K466" i="9" s="1"/>
  <c r="D466" i="9" s="1"/>
  <c r="R497" i="9"/>
  <c r="R9" i="9" s="1"/>
  <c r="E516" i="8"/>
  <c r="E456" i="8"/>
  <c r="E512" i="8"/>
  <c r="E472" i="8"/>
  <c r="E528" i="8"/>
  <c r="E504" i="8"/>
  <c r="E500" i="8"/>
  <c r="E496" i="8"/>
  <c r="E492" i="8"/>
  <c r="E484" i="8"/>
  <c r="E480" i="8"/>
  <c r="S488" i="8"/>
  <c r="E529" i="8"/>
  <c r="E521" i="8"/>
  <c r="E513" i="8"/>
  <c r="E501" i="8"/>
  <c r="E493" i="8"/>
  <c r="E473" i="8"/>
  <c r="E469" i="8"/>
  <c r="E465" i="8"/>
  <c r="E461" i="8"/>
  <c r="E457" i="8"/>
  <c r="N488" i="8"/>
  <c r="E531" i="8"/>
  <c r="E527" i="8"/>
  <c r="E506" i="8"/>
  <c r="E503" i="8"/>
  <c r="E495" i="8"/>
  <c r="E487" i="8"/>
  <c r="E483" i="8"/>
  <c r="E479" i="8"/>
  <c r="E463" i="8"/>
  <c r="E530" i="8"/>
  <c r="E522" i="8"/>
  <c r="E518" i="8"/>
  <c r="E502" i="8"/>
  <c r="E498" i="8"/>
  <c r="E494" i="8"/>
  <c r="E486" i="8"/>
  <c r="E474" i="8"/>
  <c r="E470" i="8"/>
  <c r="E462" i="8"/>
  <c r="E458" i="8"/>
  <c r="U488" i="8"/>
  <c r="I488" i="8"/>
  <c r="O488" i="8"/>
  <c r="K488" i="8"/>
  <c r="H264" i="8"/>
  <c r="I264" i="8"/>
  <c r="J264" i="8"/>
  <c r="K264" i="8"/>
  <c r="G264" i="8"/>
  <c r="H233" i="8"/>
  <c r="I233" i="8"/>
  <c r="J233" i="8"/>
  <c r="K233" i="8"/>
  <c r="M233" i="8"/>
  <c r="N233" i="8"/>
  <c r="O233" i="8"/>
  <c r="P233" i="8"/>
  <c r="Q233" i="8"/>
  <c r="R233" i="8"/>
  <c r="S233" i="8"/>
  <c r="T233" i="8"/>
  <c r="U233" i="8"/>
  <c r="V233" i="8"/>
  <c r="W233" i="8"/>
  <c r="X233" i="8"/>
  <c r="H213" i="8"/>
  <c r="I213" i="8"/>
  <c r="J213" i="8"/>
  <c r="K213" i="8"/>
  <c r="M213" i="8"/>
  <c r="N213" i="8"/>
  <c r="O213" i="8"/>
  <c r="P213" i="8"/>
  <c r="Q213" i="8"/>
  <c r="R213" i="8"/>
  <c r="S213" i="8"/>
  <c r="T213" i="8"/>
  <c r="U213" i="8"/>
  <c r="X213" i="8"/>
  <c r="H205" i="8"/>
  <c r="I205" i="8"/>
  <c r="J205" i="8"/>
  <c r="K205" i="8"/>
  <c r="M205" i="8"/>
  <c r="O205" i="8"/>
  <c r="P205" i="8"/>
  <c r="Q205" i="8"/>
  <c r="R205" i="8"/>
  <c r="S205" i="8"/>
  <c r="T205" i="8"/>
  <c r="U205" i="8"/>
  <c r="V205" i="8"/>
  <c r="W205" i="8"/>
  <c r="G205" i="8"/>
  <c r="H163" i="8"/>
  <c r="I163" i="8"/>
  <c r="J163" i="8"/>
  <c r="K163" i="8"/>
  <c r="N163" i="8"/>
  <c r="P163" i="8"/>
  <c r="S163" i="8"/>
  <c r="T163" i="8"/>
  <c r="V163" i="8"/>
  <c r="X163" i="8"/>
  <c r="H150" i="8"/>
  <c r="I150" i="8"/>
  <c r="J150" i="8"/>
  <c r="K150" i="8"/>
  <c r="M150" i="8"/>
  <c r="N150" i="8"/>
  <c r="O150" i="8"/>
  <c r="P150" i="8"/>
  <c r="Q150" i="8"/>
  <c r="R150" i="8"/>
  <c r="S150" i="8"/>
  <c r="T150" i="8"/>
  <c r="U150" i="8"/>
  <c r="V150" i="8"/>
  <c r="W150" i="8"/>
  <c r="X150" i="8"/>
  <c r="H118" i="8"/>
  <c r="I118" i="8"/>
  <c r="J118" i="8"/>
  <c r="K118" i="8"/>
  <c r="M118" i="8"/>
  <c r="N118" i="8"/>
  <c r="O118" i="8"/>
  <c r="P118" i="8"/>
  <c r="Q118" i="8"/>
  <c r="R118" i="8"/>
  <c r="S118" i="8"/>
  <c r="T118" i="8"/>
  <c r="U118" i="8"/>
  <c r="V118" i="8"/>
  <c r="W118" i="8"/>
  <c r="X118" i="8"/>
  <c r="H97" i="8"/>
  <c r="I97" i="8"/>
  <c r="J97" i="8"/>
  <c r="K97" i="8"/>
  <c r="M97" i="8"/>
  <c r="N97" i="8"/>
  <c r="O97" i="8"/>
  <c r="P97" i="8"/>
  <c r="Q97" i="8"/>
  <c r="R97" i="8"/>
  <c r="S97" i="8"/>
  <c r="T97" i="8"/>
  <c r="U97" i="8"/>
  <c r="V97" i="8"/>
  <c r="W97" i="8"/>
  <c r="X97" i="8"/>
  <c r="H78" i="8"/>
  <c r="I78" i="8"/>
  <c r="J78" i="8"/>
  <c r="K78" i="8"/>
  <c r="M78" i="8"/>
  <c r="N78" i="8"/>
  <c r="O78" i="8"/>
  <c r="P78" i="8"/>
  <c r="Q78" i="8"/>
  <c r="R78" i="8"/>
  <c r="S78" i="8"/>
  <c r="T78" i="8"/>
  <c r="U78" i="8"/>
  <c r="V78" i="8"/>
  <c r="W78" i="8"/>
  <c r="X78" i="8"/>
  <c r="G78" i="8"/>
  <c r="H53" i="8"/>
  <c r="I53" i="8"/>
  <c r="J53" i="8"/>
  <c r="K53" i="8"/>
  <c r="M53" i="8"/>
  <c r="N53" i="8"/>
  <c r="O53" i="8"/>
  <c r="P53" i="8"/>
  <c r="Q53" i="8"/>
  <c r="R53" i="8"/>
  <c r="S53" i="8"/>
  <c r="T53" i="8"/>
  <c r="U53" i="8"/>
  <c r="V53" i="8"/>
  <c r="W53" i="8"/>
  <c r="X53" i="8"/>
  <c r="H47" i="8"/>
  <c r="I47" i="8"/>
  <c r="J47" i="8"/>
  <c r="K47" i="8"/>
  <c r="M47" i="8"/>
  <c r="N47" i="8"/>
  <c r="O47" i="8"/>
  <c r="P47" i="8"/>
  <c r="Q47" i="8"/>
  <c r="R47" i="8"/>
  <c r="S47" i="8"/>
  <c r="T47" i="8"/>
  <c r="U47" i="8"/>
  <c r="V47" i="8"/>
  <c r="W47" i="8"/>
  <c r="X47" i="8"/>
  <c r="H35" i="8"/>
  <c r="I35" i="8"/>
  <c r="J35" i="8"/>
  <c r="K35" i="8"/>
  <c r="M35" i="8"/>
  <c r="N35" i="8"/>
  <c r="O35" i="8"/>
  <c r="P35" i="8"/>
  <c r="Q35" i="8"/>
  <c r="R35" i="8"/>
  <c r="S35" i="8"/>
  <c r="T35" i="8"/>
  <c r="U35" i="8"/>
  <c r="V35" i="8"/>
  <c r="W35" i="8"/>
  <c r="X35" i="8"/>
  <c r="H23" i="8"/>
  <c r="I23" i="8"/>
  <c r="J23" i="8"/>
  <c r="K23" i="8"/>
  <c r="M23" i="8"/>
  <c r="N23" i="8"/>
  <c r="O23" i="8"/>
  <c r="P23" i="8"/>
  <c r="Q23" i="8"/>
  <c r="R23" i="8"/>
  <c r="S23" i="8"/>
  <c r="T23" i="8"/>
  <c r="U23" i="8"/>
  <c r="V23" i="8"/>
  <c r="W23" i="8"/>
  <c r="X23" i="8"/>
  <c r="H11" i="8"/>
  <c r="H10" i="8" s="1"/>
  <c r="I11" i="8"/>
  <c r="I10" i="8" s="1"/>
  <c r="J11" i="8"/>
  <c r="K11" i="8"/>
  <c r="K10" i="8" s="1"/>
  <c r="M11" i="8"/>
  <c r="N11" i="8"/>
  <c r="N10" i="8" s="1"/>
  <c r="O11" i="8"/>
  <c r="O10" i="8" s="1"/>
  <c r="P11" i="8"/>
  <c r="P10" i="8" s="1"/>
  <c r="Q11" i="8"/>
  <c r="Q10" i="8" s="1"/>
  <c r="R11" i="8"/>
  <c r="R10" i="8" s="1"/>
  <c r="S11" i="8"/>
  <c r="S10" i="8" s="1"/>
  <c r="T11" i="8"/>
  <c r="T10" i="8" s="1"/>
  <c r="U11" i="8"/>
  <c r="U10" i="8" s="1"/>
  <c r="V11" i="8"/>
  <c r="V10" i="8" s="1"/>
  <c r="W11" i="8"/>
  <c r="W10" i="8" s="1"/>
  <c r="X11" i="8"/>
  <c r="X10" i="8" s="1"/>
  <c r="G47" i="8"/>
  <c r="G35" i="8"/>
  <c r="G23" i="8"/>
  <c r="D42" i="17" l="1"/>
  <c r="E508" i="9"/>
  <c r="D47" i="17"/>
  <c r="D53" i="17"/>
  <c r="D19" i="17"/>
  <c r="D46" i="17"/>
  <c r="D54" i="17"/>
  <c r="D33" i="17"/>
  <c r="R9" i="10"/>
  <c r="O9" i="10"/>
  <c r="F150" i="10"/>
  <c r="D486" i="9"/>
  <c r="K359" i="9"/>
  <c r="E483" i="10"/>
  <c r="U9" i="10"/>
  <c r="D543" i="9"/>
  <c r="K497" i="9"/>
  <c r="D497" i="9" s="1"/>
  <c r="K266" i="9"/>
  <c r="D266" i="9" s="1"/>
  <c r="D41" i="17"/>
  <c r="D98" i="9"/>
  <c r="L214" i="10"/>
  <c r="E214" i="10" s="1"/>
  <c r="L356" i="10"/>
  <c r="E532" i="10"/>
  <c r="D448" i="9"/>
  <c r="D319" i="9"/>
  <c r="U9" i="9"/>
  <c r="D20" i="17"/>
  <c r="M16" i="17"/>
  <c r="D61" i="17"/>
  <c r="E57" i="17"/>
  <c r="D31" i="17"/>
  <c r="H16" i="21"/>
  <c r="D359" i="9"/>
  <c r="D48" i="9"/>
  <c r="O9" i="9"/>
  <c r="V9" i="10"/>
  <c r="D43" i="17"/>
  <c r="D35" i="17"/>
  <c r="V16" i="21"/>
  <c r="I9" i="9"/>
  <c r="E10" i="9"/>
  <c r="K53" i="9"/>
  <c r="M505" i="10"/>
  <c r="L505" i="10" s="1"/>
  <c r="D45" i="17"/>
  <c r="E17" i="17"/>
  <c r="E459" i="10"/>
  <c r="J9" i="10"/>
  <c r="T9" i="9"/>
  <c r="H9" i="9"/>
  <c r="D53" i="9"/>
  <c r="K150" i="9"/>
  <c r="D150" i="9" s="1"/>
  <c r="M9" i="9"/>
  <c r="K10" i="9"/>
  <c r="D10" i="9" s="1"/>
  <c r="E386" i="10"/>
  <c r="E36" i="10"/>
  <c r="H9" i="10"/>
  <c r="Q8" i="15"/>
  <c r="P16" i="17"/>
  <c r="O16" i="21"/>
  <c r="P9" i="9"/>
  <c r="D415" i="9"/>
  <c r="D44" i="26"/>
  <c r="D16" i="26" s="1"/>
  <c r="E16" i="26"/>
  <c r="T9" i="10"/>
  <c r="E533" i="10"/>
  <c r="E357" i="10"/>
  <c r="P9" i="10"/>
  <c r="F53" i="10"/>
  <c r="E476" i="10"/>
  <c r="E328" i="10"/>
  <c r="E457" i="10"/>
  <c r="E206" i="10"/>
  <c r="L150" i="10"/>
  <c r="E150" i="10" s="1"/>
  <c r="S8" i="15"/>
  <c r="E37" i="17"/>
  <c r="D56" i="17"/>
  <c r="D37" i="21"/>
  <c r="K51" i="21"/>
  <c r="D51" i="21" s="1"/>
  <c r="G16" i="17"/>
  <c r="D22" i="21"/>
  <c r="Q16" i="21"/>
  <c r="S16" i="21"/>
  <c r="K29" i="21"/>
  <c r="D29" i="21" s="1"/>
  <c r="L27" i="21"/>
  <c r="L16" i="21" s="1"/>
  <c r="F405" i="15"/>
  <c r="K44" i="21"/>
  <c r="D44" i="21" s="1"/>
  <c r="F446" i="15"/>
  <c r="K48" i="21"/>
  <c r="D48" i="21" s="1"/>
  <c r="D57" i="21"/>
  <c r="K34" i="21"/>
  <c r="D34" i="21" s="1"/>
  <c r="G379" i="15"/>
  <c r="F40" i="21"/>
  <c r="E40" i="21" s="1"/>
  <c r="D40" i="21" s="1"/>
  <c r="G487" i="15"/>
  <c r="F52" i="21"/>
  <c r="E52" i="21" s="1"/>
  <c r="D52" i="21" s="1"/>
  <c r="E17" i="21"/>
  <c r="D17" i="21" s="1"/>
  <c r="E27" i="17"/>
  <c r="N16" i="17"/>
  <c r="V16" i="17"/>
  <c r="H16" i="17"/>
  <c r="R16" i="17"/>
  <c r="I16" i="17"/>
  <c r="K57" i="17"/>
  <c r="D23" i="17"/>
  <c r="D18" i="17"/>
  <c r="E22" i="17"/>
  <c r="Q57" i="17"/>
  <c r="Q16" i="17" s="1"/>
  <c r="K60" i="17"/>
  <c r="D60" i="17" s="1"/>
  <c r="D59" i="17"/>
  <c r="K52" i="17"/>
  <c r="D57" i="17"/>
  <c r="F52" i="17"/>
  <c r="E52" i="17" s="1"/>
  <c r="J16" i="17"/>
  <c r="D39" i="17"/>
  <c r="K48" i="17"/>
  <c r="D48" i="17" s="1"/>
  <c r="K44" i="17"/>
  <c r="D44" i="17" s="1"/>
  <c r="K40" i="17"/>
  <c r="F40" i="17"/>
  <c r="E40" i="17" s="1"/>
  <c r="K37" i="17"/>
  <c r="U16" i="17"/>
  <c r="W16" i="17"/>
  <c r="T16" i="17"/>
  <c r="O16" i="17"/>
  <c r="S16" i="17"/>
  <c r="D24" i="17"/>
  <c r="K22" i="17"/>
  <c r="K17" i="17"/>
  <c r="D17" i="17" s="1"/>
  <c r="F476" i="15"/>
  <c r="K51" i="17"/>
  <c r="D51" i="17" s="1"/>
  <c r="F513" i="15"/>
  <c r="N8" i="15"/>
  <c r="L27" i="17"/>
  <c r="L16" i="17" s="1"/>
  <c r="F162" i="15"/>
  <c r="K29" i="17"/>
  <c r="D29" i="17" s="1"/>
  <c r="F263" i="15"/>
  <c r="K34" i="17"/>
  <c r="D34" i="17" s="1"/>
  <c r="G8" i="15"/>
  <c r="F379" i="15"/>
  <c r="F51" i="15"/>
  <c r="F353" i="15"/>
  <c r="F9" i="15"/>
  <c r="F487" i="15"/>
  <c r="M148" i="15"/>
  <c r="J10" i="8"/>
  <c r="C12" i="12"/>
  <c r="C6" i="12" s="1"/>
  <c r="N6" i="12"/>
  <c r="F506" i="10"/>
  <c r="E506" i="10" s="1"/>
  <c r="G505" i="10"/>
  <c r="F505" i="10" s="1"/>
  <c r="Q9" i="10"/>
  <c r="W9" i="10"/>
  <c r="L494" i="10"/>
  <c r="E494" i="10" s="1"/>
  <c r="L53" i="10"/>
  <c r="E53" i="10" s="1"/>
  <c r="L10" i="10"/>
  <c r="N9" i="10"/>
  <c r="F402" i="10"/>
  <c r="E402" i="10" s="1"/>
  <c r="G385" i="10"/>
  <c r="F385" i="10" s="1"/>
  <c r="E385" i="10" s="1"/>
  <c r="E356" i="10"/>
  <c r="F10" i="10"/>
  <c r="E119" i="10"/>
  <c r="X52" i="8"/>
  <c r="H52" i="8"/>
  <c r="Q52" i="8"/>
  <c r="I149" i="8"/>
  <c r="E505" i="8"/>
  <c r="S149" i="8"/>
  <c r="E511" i="8"/>
  <c r="E526" i="8"/>
  <c r="J149" i="8"/>
  <c r="K149" i="8"/>
  <c r="I52" i="8"/>
  <c r="V149" i="8"/>
  <c r="T149" i="8"/>
  <c r="P149" i="8"/>
  <c r="H149" i="8"/>
  <c r="K331" i="9"/>
  <c r="D331" i="9" s="1"/>
  <c r="V9" i="9"/>
  <c r="K388" i="9"/>
  <c r="D388" i="9" s="1"/>
  <c r="F9" i="9"/>
  <c r="E9" i="9" s="1"/>
  <c r="L508" i="9"/>
  <c r="K535" i="9"/>
  <c r="D535" i="9" s="1"/>
  <c r="L11" i="8"/>
  <c r="L35" i="8"/>
  <c r="L53" i="8"/>
  <c r="L78" i="8"/>
  <c r="J52" i="8"/>
  <c r="P52" i="8"/>
  <c r="U52" i="8"/>
  <c r="M52" i="8"/>
  <c r="L97" i="8"/>
  <c r="L118" i="8"/>
  <c r="L150" i="8"/>
  <c r="L23" i="8"/>
  <c r="L47" i="8"/>
  <c r="M10" i="8"/>
  <c r="S52" i="8"/>
  <c r="V52" i="8"/>
  <c r="R52" i="8"/>
  <c r="N52" i="8"/>
  <c r="L233" i="8"/>
  <c r="W52" i="8"/>
  <c r="O52" i="8"/>
  <c r="K52" i="8"/>
  <c r="T52" i="8"/>
  <c r="M9" i="10" l="1"/>
  <c r="E505" i="10"/>
  <c r="D52" i="17"/>
  <c r="F16" i="21"/>
  <c r="E16" i="21" s="1"/>
  <c r="K16" i="21"/>
  <c r="E10" i="10"/>
  <c r="G9" i="10"/>
  <c r="F9" i="10" s="1"/>
  <c r="F16" i="17"/>
  <c r="E16" i="17" s="1"/>
  <c r="D37" i="17"/>
  <c r="K27" i="21"/>
  <c r="D27" i="21" s="1"/>
  <c r="D40" i="17"/>
  <c r="D22" i="17"/>
  <c r="K16" i="17"/>
  <c r="F148" i="15"/>
  <c r="K27" i="17"/>
  <c r="D27" i="17" s="1"/>
  <c r="M8" i="15"/>
  <c r="F8" i="15" s="1"/>
  <c r="L9" i="10"/>
  <c r="L10" i="8"/>
  <c r="K508" i="9"/>
  <c r="D508" i="9" s="1"/>
  <c r="L9" i="9"/>
  <c r="K9" i="9" s="1"/>
  <c r="D9" i="9" s="1"/>
  <c r="L52" i="8"/>
  <c r="G11" i="8"/>
  <c r="F12" i="8"/>
  <c r="E12" i="8" s="1"/>
  <c r="F14" i="8"/>
  <c r="E14" i="8" s="1"/>
  <c r="F15" i="8"/>
  <c r="E15" i="8" s="1"/>
  <c r="F16" i="8"/>
  <c r="E16" i="8" s="1"/>
  <c r="F17" i="8"/>
  <c r="E17" i="8" s="1"/>
  <c r="F18" i="8"/>
  <c r="E18" i="8" s="1"/>
  <c r="F19" i="8"/>
  <c r="E19" i="8" s="1"/>
  <c r="F22" i="8"/>
  <c r="E22" i="8" s="1"/>
  <c r="F23" i="8"/>
  <c r="E23" i="8" s="1"/>
  <c r="F24" i="8"/>
  <c r="E24" i="8" s="1"/>
  <c r="F25" i="8"/>
  <c r="E25" i="8" s="1"/>
  <c r="F26" i="8"/>
  <c r="E26" i="8" s="1"/>
  <c r="F29" i="8"/>
  <c r="E29" i="8" s="1"/>
  <c r="F30" i="8"/>
  <c r="E30" i="8" s="1"/>
  <c r="F31" i="8"/>
  <c r="E31" i="8" s="1"/>
  <c r="F32" i="8"/>
  <c r="E32" i="8" s="1"/>
  <c r="F33" i="8"/>
  <c r="E33" i="8" s="1"/>
  <c r="F34" i="8"/>
  <c r="E34" i="8" s="1"/>
  <c r="F35" i="8"/>
  <c r="E35" i="8" s="1"/>
  <c r="F36" i="8"/>
  <c r="E36" i="8" s="1"/>
  <c r="F37" i="8"/>
  <c r="E37" i="8" s="1"/>
  <c r="F38" i="8"/>
  <c r="E38" i="8" s="1"/>
  <c r="F39" i="8"/>
  <c r="E39" i="8" s="1"/>
  <c r="F40" i="8"/>
  <c r="E40" i="8" s="1"/>
  <c r="F41" i="8"/>
  <c r="E41" i="8" s="1"/>
  <c r="F42" i="8"/>
  <c r="E42" i="8" s="1"/>
  <c r="F43" i="8"/>
  <c r="E43" i="8" s="1"/>
  <c r="F44" i="8"/>
  <c r="E44" i="8" s="1"/>
  <c r="F45" i="8"/>
  <c r="E45" i="8" s="1"/>
  <c r="F46" i="8"/>
  <c r="E46" i="8" s="1"/>
  <c r="F47" i="8"/>
  <c r="E47" i="8" s="1"/>
  <c r="F48" i="8"/>
  <c r="E48" i="8" s="1"/>
  <c r="F49" i="8"/>
  <c r="E49" i="8" s="1"/>
  <c r="F51" i="8"/>
  <c r="E51" i="8" s="1"/>
  <c r="F55" i="8"/>
  <c r="E55" i="8" s="1"/>
  <c r="F56" i="8"/>
  <c r="E56" i="8" s="1"/>
  <c r="F57" i="8"/>
  <c r="E57" i="8" s="1"/>
  <c r="F58" i="8"/>
  <c r="E58" i="8" s="1"/>
  <c r="F59" i="8"/>
  <c r="E59" i="8" s="1"/>
  <c r="F60" i="8"/>
  <c r="E60" i="8" s="1"/>
  <c r="F65" i="8"/>
  <c r="E65" i="8" s="1"/>
  <c r="F67" i="8"/>
  <c r="E67" i="8" s="1"/>
  <c r="F68" i="8"/>
  <c r="E68" i="8" s="1"/>
  <c r="F71" i="8"/>
  <c r="E71" i="8" s="1"/>
  <c r="F72" i="8"/>
  <c r="E72" i="8" s="1"/>
  <c r="F75" i="8"/>
  <c r="E75" i="8" s="1"/>
  <c r="F76" i="8"/>
  <c r="E76" i="8" s="1"/>
  <c r="F77" i="8"/>
  <c r="E77" i="8" s="1"/>
  <c r="F78" i="8"/>
  <c r="E78" i="8" s="1"/>
  <c r="F79" i="8"/>
  <c r="E79" i="8" s="1"/>
  <c r="F85" i="8"/>
  <c r="E85" i="8" s="1"/>
  <c r="F89" i="8"/>
  <c r="E89" i="8" s="1"/>
  <c r="F90" i="8"/>
  <c r="E90" i="8" s="1"/>
  <c r="F91" i="8"/>
  <c r="E91" i="8" s="1"/>
  <c r="F92" i="8"/>
  <c r="E92" i="8" s="1"/>
  <c r="F93" i="8"/>
  <c r="E93" i="8" s="1"/>
  <c r="F94" i="8"/>
  <c r="E94" i="8" s="1"/>
  <c r="F95" i="8"/>
  <c r="E95" i="8" s="1"/>
  <c r="F96" i="8"/>
  <c r="E96" i="8" s="1"/>
  <c r="F102" i="8"/>
  <c r="E102" i="8" s="1"/>
  <c r="F105" i="8"/>
  <c r="E105" i="8" s="1"/>
  <c r="F106" i="8"/>
  <c r="E106" i="8" s="1"/>
  <c r="F107" i="8"/>
  <c r="E107" i="8" s="1"/>
  <c r="F109" i="8"/>
  <c r="E109" i="8" s="1"/>
  <c r="F110" i="8"/>
  <c r="E110" i="8" s="1"/>
  <c r="F113" i="8"/>
  <c r="E113" i="8" s="1"/>
  <c r="F114" i="8"/>
  <c r="E114" i="8" s="1"/>
  <c r="F120" i="8"/>
  <c r="E120" i="8" s="1"/>
  <c r="F121" i="8"/>
  <c r="E121" i="8" s="1"/>
  <c r="F123" i="8"/>
  <c r="E123" i="8" s="1"/>
  <c r="F124" i="8"/>
  <c r="E124" i="8" s="1"/>
  <c r="F125" i="8"/>
  <c r="E125" i="8" s="1"/>
  <c r="F128" i="8"/>
  <c r="E128" i="8" s="1"/>
  <c r="F130" i="8"/>
  <c r="E130" i="8" s="1"/>
  <c r="F131" i="8"/>
  <c r="E131" i="8" s="1"/>
  <c r="F132" i="8"/>
  <c r="E132" i="8" s="1"/>
  <c r="F133" i="8"/>
  <c r="E133" i="8" s="1"/>
  <c r="F134" i="8"/>
  <c r="E134" i="8" s="1"/>
  <c r="F137" i="8"/>
  <c r="E137" i="8" s="1"/>
  <c r="F138" i="8"/>
  <c r="E138" i="8" s="1"/>
  <c r="F139" i="8"/>
  <c r="E139" i="8" s="1"/>
  <c r="F140" i="8"/>
  <c r="E140" i="8" s="1"/>
  <c r="F141" i="8"/>
  <c r="E141" i="8" s="1"/>
  <c r="F142" i="8"/>
  <c r="E142" i="8" s="1"/>
  <c r="F143" i="8"/>
  <c r="E143" i="8" s="1"/>
  <c r="F144" i="8"/>
  <c r="E144" i="8" s="1"/>
  <c r="F145" i="8"/>
  <c r="E145" i="8" s="1"/>
  <c r="F146" i="8"/>
  <c r="E146" i="8" s="1"/>
  <c r="F147" i="8"/>
  <c r="E147" i="8" s="1"/>
  <c r="F148" i="8"/>
  <c r="E148" i="8" s="1"/>
  <c r="F152" i="8"/>
  <c r="E152" i="8" s="1"/>
  <c r="F153" i="8"/>
  <c r="E153" i="8" s="1"/>
  <c r="F154" i="8"/>
  <c r="E154" i="8" s="1"/>
  <c r="F155" i="8"/>
  <c r="E155" i="8" s="1"/>
  <c r="F159" i="8"/>
  <c r="E159" i="8" s="1"/>
  <c r="F161" i="8"/>
  <c r="E161" i="8" s="1"/>
  <c r="F162" i="8"/>
  <c r="E162" i="8" s="1"/>
  <c r="F165" i="8"/>
  <c r="E165" i="8" s="1"/>
  <c r="F166" i="8"/>
  <c r="E166" i="8" s="1"/>
  <c r="F168" i="8"/>
  <c r="E168" i="8" s="1"/>
  <c r="F169" i="8"/>
  <c r="E169" i="8" s="1"/>
  <c r="F170" i="8"/>
  <c r="E170" i="8" s="1"/>
  <c r="F171" i="8"/>
  <c r="E171" i="8" s="1"/>
  <c r="F172" i="8"/>
  <c r="F175" i="8"/>
  <c r="E175" i="8" s="1"/>
  <c r="F176" i="8"/>
  <c r="E176" i="8" s="1"/>
  <c r="F178" i="8"/>
  <c r="E178" i="8" s="1"/>
  <c r="F180" i="8"/>
  <c r="E180" i="8" s="1"/>
  <c r="F181" i="8"/>
  <c r="E181" i="8" s="1"/>
  <c r="F182" i="8"/>
  <c r="E182" i="8" s="1"/>
  <c r="F183" i="8"/>
  <c r="E183" i="8" s="1"/>
  <c r="F186" i="8"/>
  <c r="E186" i="8" s="1"/>
  <c r="F188" i="8"/>
  <c r="E188" i="8" s="1"/>
  <c r="F189" i="8"/>
  <c r="E189" i="8" s="1"/>
  <c r="F190" i="8"/>
  <c r="E190" i="8" s="1"/>
  <c r="F191" i="8"/>
  <c r="E191" i="8" s="1"/>
  <c r="F192" i="8"/>
  <c r="E192" i="8" s="1"/>
  <c r="F196" i="8"/>
  <c r="E196" i="8" s="1"/>
  <c r="F197" i="8"/>
  <c r="E197" i="8" s="1"/>
  <c r="F198" i="8"/>
  <c r="E198" i="8" s="1"/>
  <c r="F199" i="8"/>
  <c r="E199" i="8" s="1"/>
  <c r="F200" i="8"/>
  <c r="E200" i="8" s="1"/>
  <c r="F201" i="8"/>
  <c r="E201" i="8" s="1"/>
  <c r="F202" i="8"/>
  <c r="E202" i="8" s="1"/>
  <c r="F203" i="8"/>
  <c r="E203" i="8" s="1"/>
  <c r="F204" i="8"/>
  <c r="E204" i="8" s="1"/>
  <c r="F205" i="8"/>
  <c r="F206" i="8"/>
  <c r="F207" i="8"/>
  <c r="E207" i="8" s="1"/>
  <c r="F211" i="8"/>
  <c r="E211" i="8" s="1"/>
  <c r="F215" i="8"/>
  <c r="E215" i="8" s="1"/>
  <c r="F216" i="8"/>
  <c r="E216" i="8" s="1"/>
  <c r="F217" i="8"/>
  <c r="F218" i="8"/>
  <c r="F220" i="8"/>
  <c r="E220" i="8" s="1"/>
  <c r="F221" i="8"/>
  <c r="E221" i="8" s="1"/>
  <c r="F222" i="8"/>
  <c r="E222" i="8" s="1"/>
  <c r="F223" i="8"/>
  <c r="E223" i="8" s="1"/>
  <c r="F224" i="8"/>
  <c r="E224" i="8" s="1"/>
  <c r="F226" i="8"/>
  <c r="E226" i="8" s="1"/>
  <c r="F227" i="8"/>
  <c r="E227" i="8" s="1"/>
  <c r="F230" i="8"/>
  <c r="E230" i="8" s="1"/>
  <c r="F231" i="8"/>
  <c r="E231" i="8" s="1"/>
  <c r="F236" i="8"/>
  <c r="E236" i="8" s="1"/>
  <c r="F238" i="8"/>
  <c r="E238" i="8" s="1"/>
  <c r="F241" i="8"/>
  <c r="E241" i="8" s="1"/>
  <c r="F242" i="8"/>
  <c r="E242" i="8" s="1"/>
  <c r="F244" i="8"/>
  <c r="E244" i="8" s="1"/>
  <c r="F245" i="8"/>
  <c r="E245" i="8" s="1"/>
  <c r="F246" i="8"/>
  <c r="E246" i="8" s="1"/>
  <c r="F247" i="8"/>
  <c r="E247" i="8" s="1"/>
  <c r="F248" i="8"/>
  <c r="E248" i="8" s="1"/>
  <c r="F249" i="8"/>
  <c r="E249" i="8" s="1"/>
  <c r="F250" i="8"/>
  <c r="E250" i="8" s="1"/>
  <c r="F251" i="8"/>
  <c r="E251" i="8" s="1"/>
  <c r="F252" i="8"/>
  <c r="E252" i="8" s="1"/>
  <c r="F253" i="8"/>
  <c r="E253" i="8" s="1"/>
  <c r="F258" i="8"/>
  <c r="E258" i="8" s="1"/>
  <c r="F261" i="8"/>
  <c r="E261" i="8" s="1"/>
  <c r="F262" i="8"/>
  <c r="E262" i="8" s="1"/>
  <c r="F263" i="8"/>
  <c r="E263" i="8" s="1"/>
  <c r="F265" i="8"/>
  <c r="F266" i="8"/>
  <c r="F267" i="8"/>
  <c r="F268" i="8"/>
  <c r="F269" i="8"/>
  <c r="E269" i="8" s="1"/>
  <c r="F270" i="8"/>
  <c r="F271" i="8"/>
  <c r="E271" i="8" s="1"/>
  <c r="F272" i="8"/>
  <c r="F273" i="8"/>
  <c r="E273" i="8" s="1"/>
  <c r="F274" i="8"/>
  <c r="E274" i="8" s="1"/>
  <c r="F275" i="8"/>
  <c r="E275" i="8" s="1"/>
  <c r="F276" i="8"/>
  <c r="E276" i="8" s="1"/>
  <c r="F277" i="8"/>
  <c r="E277" i="8" s="1"/>
  <c r="F278" i="8"/>
  <c r="E278" i="8" s="1"/>
  <c r="F279" i="8"/>
  <c r="E279" i="8" s="1"/>
  <c r="F280" i="8"/>
  <c r="F282" i="8"/>
  <c r="E282" i="8" s="1"/>
  <c r="F283" i="8"/>
  <c r="E283" i="8" s="1"/>
  <c r="F284" i="8"/>
  <c r="E284" i="8" s="1"/>
  <c r="F285" i="8"/>
  <c r="E285" i="8" s="1"/>
  <c r="F286" i="8"/>
  <c r="E286" i="8" s="1"/>
  <c r="F287" i="8"/>
  <c r="E287" i="8" s="1"/>
  <c r="F288" i="8"/>
  <c r="E288" i="8" s="1"/>
  <c r="F289" i="8"/>
  <c r="E289" i="8" s="1"/>
  <c r="F290" i="8"/>
  <c r="E290" i="8" s="1"/>
  <c r="F291" i="8"/>
  <c r="E291" i="8" s="1"/>
  <c r="F292" i="8"/>
  <c r="F293" i="8"/>
  <c r="E293" i="8" s="1"/>
  <c r="F294" i="8"/>
  <c r="F295" i="8"/>
  <c r="E295" i="8" s="1"/>
  <c r="F296" i="8"/>
  <c r="E296" i="8" s="1"/>
  <c r="F297" i="8"/>
  <c r="E297" i="8" s="1"/>
  <c r="F298" i="8"/>
  <c r="E298" i="8" s="1"/>
  <c r="F299" i="8"/>
  <c r="E299" i="8" s="1"/>
  <c r="F300" i="8"/>
  <c r="E300" i="8" s="1"/>
  <c r="F301" i="8"/>
  <c r="E301" i="8" s="1"/>
  <c r="F302" i="8"/>
  <c r="E302" i="8" s="1"/>
  <c r="F303" i="8"/>
  <c r="E303" i="8" s="1"/>
  <c r="F304" i="8"/>
  <c r="E304" i="8" s="1"/>
  <c r="F305" i="8"/>
  <c r="E305" i="8" s="1"/>
  <c r="F306" i="8"/>
  <c r="E306" i="8" s="1"/>
  <c r="F307" i="8"/>
  <c r="E307" i="8" s="1"/>
  <c r="F308" i="8"/>
  <c r="E308" i="8" s="1"/>
  <c r="F309" i="8"/>
  <c r="E309" i="8" s="1"/>
  <c r="F310" i="8"/>
  <c r="E310" i="8" s="1"/>
  <c r="F311" i="8"/>
  <c r="E311" i="8" s="1"/>
  <c r="F312" i="8"/>
  <c r="E312" i="8" s="1"/>
  <c r="F313" i="8"/>
  <c r="E313" i="8" s="1"/>
  <c r="F316" i="8"/>
  <c r="E316" i="8" s="1"/>
  <c r="F317" i="8"/>
  <c r="E317" i="8" s="1"/>
  <c r="F319" i="8"/>
  <c r="E319" i="8" s="1"/>
  <c r="F321" i="8"/>
  <c r="E321" i="8" s="1"/>
  <c r="F322" i="8"/>
  <c r="E322" i="8" s="1"/>
  <c r="F323" i="8"/>
  <c r="E323" i="8" s="1"/>
  <c r="F324" i="8"/>
  <c r="E324" i="8" s="1"/>
  <c r="F325" i="8"/>
  <c r="E325" i="8" s="1"/>
  <c r="F326" i="8"/>
  <c r="F327" i="8"/>
  <c r="E327" i="8" s="1"/>
  <c r="F328" i="8"/>
  <c r="E328" i="8" s="1"/>
  <c r="F329" i="8"/>
  <c r="E329" i="8" s="1"/>
  <c r="F330" i="8"/>
  <c r="E330" i="8" s="1"/>
  <c r="F331" i="8"/>
  <c r="E331" i="8" s="1"/>
  <c r="F332" i="8"/>
  <c r="E332" i="8" s="1"/>
  <c r="F333" i="8"/>
  <c r="E333" i="8" s="1"/>
  <c r="F334" i="8"/>
  <c r="E334" i="8" s="1"/>
  <c r="F335" i="8"/>
  <c r="E335" i="8" s="1"/>
  <c r="F336" i="8"/>
  <c r="E336" i="8" s="1"/>
  <c r="F337" i="8"/>
  <c r="E337" i="8" s="1"/>
  <c r="F338" i="8"/>
  <c r="E338" i="8" s="1"/>
  <c r="F340" i="8"/>
  <c r="E340" i="8" s="1"/>
  <c r="F341" i="8"/>
  <c r="E341" i="8" s="1"/>
  <c r="F342" i="8"/>
  <c r="E342" i="8" s="1"/>
  <c r="F343" i="8"/>
  <c r="E343" i="8" s="1"/>
  <c r="F344" i="8"/>
  <c r="E344" i="8" s="1"/>
  <c r="F345" i="8"/>
  <c r="E345" i="8" s="1"/>
  <c r="F346" i="8"/>
  <c r="E346" i="8" s="1"/>
  <c r="F347" i="8"/>
  <c r="E347" i="8" s="1"/>
  <c r="F348" i="8"/>
  <c r="E348" i="8" s="1"/>
  <c r="F349" i="8"/>
  <c r="E349" i="8" s="1"/>
  <c r="F350" i="8"/>
  <c r="E350" i="8" s="1"/>
  <c r="F351" i="8"/>
  <c r="F355" i="8"/>
  <c r="E355" i="8" s="1"/>
  <c r="F356" i="8"/>
  <c r="E356" i="8" s="1"/>
  <c r="F357" i="8"/>
  <c r="E357" i="8" s="1"/>
  <c r="F358" i="8"/>
  <c r="E358" i="8" s="1"/>
  <c r="F362" i="8"/>
  <c r="E362" i="8" s="1"/>
  <c r="F363" i="8"/>
  <c r="E363" i="8" s="1"/>
  <c r="F365" i="8"/>
  <c r="E365" i="8" s="1"/>
  <c r="F366" i="8"/>
  <c r="E366" i="8" s="1"/>
  <c r="F367" i="8"/>
  <c r="E367" i="8" s="1"/>
  <c r="F368" i="8"/>
  <c r="E368" i="8" s="1"/>
  <c r="F369" i="8"/>
  <c r="E369" i="8" s="1"/>
  <c r="F370" i="8"/>
  <c r="E370" i="8" s="1"/>
  <c r="F372" i="8"/>
  <c r="E372" i="8" s="1"/>
  <c r="F373" i="8"/>
  <c r="E373" i="8" s="1"/>
  <c r="F375" i="8"/>
  <c r="E375" i="8" s="1"/>
  <c r="F376" i="8"/>
  <c r="E376" i="8" s="1"/>
  <c r="F377" i="8"/>
  <c r="E377" i="8" s="1"/>
  <c r="F378" i="8"/>
  <c r="E378" i="8" s="1"/>
  <c r="F379" i="8"/>
  <c r="E379" i="8" s="1"/>
  <c r="F382" i="8"/>
  <c r="E382" i="8" s="1"/>
  <c r="F384" i="8"/>
  <c r="E384" i="8" s="1"/>
  <c r="F386" i="8"/>
  <c r="E386" i="8" s="1"/>
  <c r="F387" i="8"/>
  <c r="E387" i="8" s="1"/>
  <c r="F388" i="8"/>
  <c r="E388" i="8" s="1"/>
  <c r="F389" i="8"/>
  <c r="E389" i="8" s="1"/>
  <c r="F390" i="8"/>
  <c r="E390" i="8" s="1"/>
  <c r="F391" i="8"/>
  <c r="E391" i="8" s="1"/>
  <c r="F393" i="8"/>
  <c r="E393" i="8" s="1"/>
  <c r="F394" i="8"/>
  <c r="E394" i="8" s="1"/>
  <c r="F397" i="8"/>
  <c r="E397" i="8" s="1"/>
  <c r="F399" i="8"/>
  <c r="E399" i="8" s="1"/>
  <c r="F402" i="8"/>
  <c r="E402" i="8" s="1"/>
  <c r="F404" i="8"/>
  <c r="E404" i="8" s="1"/>
  <c r="F405" i="8"/>
  <c r="E405" i="8" s="1"/>
  <c r="F407" i="8"/>
  <c r="E407" i="8" s="1"/>
  <c r="F409" i="8"/>
  <c r="F410" i="8"/>
  <c r="E410" i="8" s="1"/>
  <c r="F411" i="8"/>
  <c r="E411" i="8" s="1"/>
  <c r="F412" i="8"/>
  <c r="E412" i="8" s="1"/>
  <c r="F415" i="8"/>
  <c r="E415" i="8" s="1"/>
  <c r="F416" i="8"/>
  <c r="E416" i="8" s="1"/>
  <c r="F417" i="8"/>
  <c r="E417" i="8" s="1"/>
  <c r="F418" i="8"/>
  <c r="E418" i="8" s="1"/>
  <c r="F422" i="8"/>
  <c r="E422" i="8" s="1"/>
  <c r="F423" i="8"/>
  <c r="E423" i="8" s="1"/>
  <c r="F425" i="8"/>
  <c r="E425" i="8" s="1"/>
  <c r="F426" i="8"/>
  <c r="E426" i="8" s="1"/>
  <c r="F428" i="8"/>
  <c r="E428" i="8" s="1"/>
  <c r="F431" i="8"/>
  <c r="E431" i="8" s="1"/>
  <c r="F434" i="8"/>
  <c r="E434" i="8" s="1"/>
  <c r="F435" i="8"/>
  <c r="E435" i="8" s="1"/>
  <c r="F436" i="8"/>
  <c r="E436" i="8" s="1"/>
  <c r="F437" i="8"/>
  <c r="E437" i="8" s="1"/>
  <c r="F438" i="8"/>
  <c r="E438" i="8" s="1"/>
  <c r="F439" i="8"/>
  <c r="E439" i="8" s="1"/>
  <c r="F440" i="8"/>
  <c r="E440" i="8" s="1"/>
  <c r="F441" i="8"/>
  <c r="E441" i="8" s="1"/>
  <c r="F442" i="8"/>
  <c r="E442" i="8" s="1"/>
  <c r="F443" i="8"/>
  <c r="E443" i="8" s="1"/>
  <c r="F444" i="8"/>
  <c r="E444" i="8" s="1"/>
  <c r="F445" i="8"/>
  <c r="E445" i="8" s="1"/>
  <c r="F446" i="8"/>
  <c r="E446" i="8" s="1"/>
  <c r="F447" i="8"/>
  <c r="F448" i="8"/>
  <c r="E448" i="8" s="1"/>
  <c r="F450" i="8"/>
  <c r="E450" i="8" s="1"/>
  <c r="F451" i="8"/>
  <c r="E451" i="8" s="1"/>
  <c r="F452" i="8"/>
  <c r="F453" i="8"/>
  <c r="D16" i="21" l="1"/>
  <c r="D16" i="17"/>
  <c r="E9" i="10"/>
  <c r="G10" i="8"/>
  <c r="F11" i="8"/>
  <c r="E11" i="8" s="1"/>
  <c r="F10" i="8" l="1"/>
  <c r="E10" i="8" s="1"/>
  <c r="P524" i="8"/>
  <c r="Q510" i="8"/>
  <c r="Q507" i="8" s="1"/>
  <c r="Q488" i="8" s="1"/>
  <c r="M510" i="8"/>
  <c r="W509" i="8"/>
  <c r="W507" i="8" s="1"/>
  <c r="W488" i="8" s="1"/>
  <c r="M509" i="8"/>
  <c r="X294" i="8"/>
  <c r="X264" i="8" s="1"/>
  <c r="W294" i="8"/>
  <c r="V294" i="8"/>
  <c r="V264" i="8" s="1"/>
  <c r="U294" i="8"/>
  <c r="U264" i="8" s="1"/>
  <c r="T294" i="8"/>
  <c r="T264" i="8" s="1"/>
  <c r="S294" i="8"/>
  <c r="S264" i="8" s="1"/>
  <c r="R294" i="8"/>
  <c r="R264" i="8" s="1"/>
  <c r="Q294" i="8"/>
  <c r="P294" i="8"/>
  <c r="P264" i="8" s="1"/>
  <c r="O294" i="8"/>
  <c r="N294" i="8"/>
  <c r="N264" i="8" s="1"/>
  <c r="M294" i="8"/>
  <c r="M292" i="8"/>
  <c r="L292" i="8" s="1"/>
  <c r="E292" i="8" s="1"/>
  <c r="Q280" i="8"/>
  <c r="M280" i="8"/>
  <c r="W272" i="8"/>
  <c r="L272" i="8" s="1"/>
  <c r="E272" i="8" s="1"/>
  <c r="W270" i="8"/>
  <c r="O270" i="8"/>
  <c r="M270" i="8"/>
  <c r="M268" i="8"/>
  <c r="O267" i="8"/>
  <c r="F264" i="8"/>
  <c r="L280" i="8" l="1"/>
  <c r="E280" i="8" s="1"/>
  <c r="L510" i="8"/>
  <c r="E510" i="8" s="1"/>
  <c r="L270" i="8"/>
  <c r="E270" i="8" s="1"/>
  <c r="Q264" i="8"/>
  <c r="L267" i="8"/>
  <c r="E267" i="8" s="1"/>
  <c r="O264" i="8"/>
  <c r="W264" i="8"/>
  <c r="L268" i="8"/>
  <c r="E268" i="8" s="1"/>
  <c r="M264" i="8"/>
  <c r="L294" i="8"/>
  <c r="E294" i="8" s="1"/>
  <c r="L509" i="8"/>
  <c r="E509" i="8" s="1"/>
  <c r="M507" i="8"/>
  <c r="L524" i="8"/>
  <c r="E524" i="8" s="1"/>
  <c r="P523" i="8"/>
  <c r="E265" i="8"/>
  <c r="E266" i="8"/>
  <c r="L264" i="8" l="1"/>
  <c r="E264" i="8" s="1"/>
  <c r="L507" i="8"/>
  <c r="M488" i="8"/>
  <c r="L488" i="8" s="1"/>
  <c r="R525" i="8" l="1"/>
  <c r="K320" i="8"/>
  <c r="F320" i="8" s="1"/>
  <c r="E320" i="8" s="1"/>
  <c r="K315" i="8"/>
  <c r="K314" i="8" l="1"/>
  <c r="F315" i="8"/>
  <c r="E315" i="8" s="1"/>
  <c r="L525" i="8"/>
  <c r="E525" i="8" s="1"/>
  <c r="R523" i="8"/>
  <c r="L523" i="8" s="1"/>
  <c r="E523" i="8" s="1"/>
  <c r="M519" i="8"/>
  <c r="F314" i="8" l="1"/>
  <c r="E314" i="8" s="1"/>
  <c r="L519" i="8"/>
  <c r="E519" i="8" s="1"/>
  <c r="M517" i="8"/>
  <c r="L517" i="8" s="1"/>
  <c r="E517" i="8" s="1"/>
  <c r="G118" i="8"/>
  <c r="F118" i="8" s="1"/>
  <c r="E118" i="8" s="1"/>
  <c r="G491" i="8" l="1"/>
  <c r="F491" i="8" s="1"/>
  <c r="E491" i="8" s="1"/>
  <c r="G490" i="8"/>
  <c r="G429" i="8"/>
  <c r="F429" i="8" s="1"/>
  <c r="E429" i="8" s="1"/>
  <c r="F490" i="8" l="1"/>
  <c r="E490" i="8" s="1"/>
  <c r="G489" i="8"/>
  <c r="F489" i="8" s="1"/>
  <c r="E489" i="8" s="1"/>
  <c r="R351" i="8"/>
  <c r="L351" i="8" l="1"/>
  <c r="E351" i="8" s="1"/>
  <c r="R326" i="8"/>
  <c r="L326" i="8" s="1"/>
  <c r="E326" i="8" s="1"/>
  <c r="G401" i="8"/>
  <c r="F401" i="8" s="1"/>
  <c r="E401" i="8" s="1"/>
  <c r="G400" i="8"/>
  <c r="F400" i="8" s="1"/>
  <c r="E400" i="8" s="1"/>
  <c r="G398" i="8"/>
  <c r="F398" i="8" s="1"/>
  <c r="E398" i="8" s="1"/>
  <c r="W172" i="8"/>
  <c r="W163" i="8" s="1"/>
  <c r="W149" i="8" s="1"/>
  <c r="U172" i="8"/>
  <c r="U163" i="8" s="1"/>
  <c r="U149" i="8" s="1"/>
  <c r="R172" i="8"/>
  <c r="R163" i="8" s="1"/>
  <c r="R149" i="8" s="1"/>
  <c r="Q172" i="8"/>
  <c r="Q163" i="8" s="1"/>
  <c r="Q149" i="8" s="1"/>
  <c r="O172" i="8"/>
  <c r="O163" i="8" s="1"/>
  <c r="O149" i="8" s="1"/>
  <c r="M172" i="8"/>
  <c r="L172" i="8" l="1"/>
  <c r="E172" i="8" s="1"/>
  <c r="M163" i="8"/>
  <c r="G115" i="8"/>
  <c r="F115" i="8" s="1"/>
  <c r="E115" i="8" s="1"/>
  <c r="G111" i="8"/>
  <c r="G97" i="8" l="1"/>
  <c r="F111" i="8"/>
  <c r="E111" i="8" s="1"/>
  <c r="L163" i="8"/>
  <c r="M149" i="8"/>
  <c r="G374" i="8"/>
  <c r="F374" i="8" s="1"/>
  <c r="E374" i="8" s="1"/>
  <c r="N206" i="8"/>
  <c r="G53" i="8"/>
  <c r="F53" i="8" s="1"/>
  <c r="E53" i="8" s="1"/>
  <c r="X409" i="8"/>
  <c r="T409" i="8"/>
  <c r="X406" i="8" l="1"/>
  <c r="L206" i="8"/>
  <c r="E206" i="8" s="1"/>
  <c r="N205" i="8"/>
  <c r="P406" i="8"/>
  <c r="X205" i="8"/>
  <c r="X149" i="8" s="1"/>
  <c r="M406" i="8"/>
  <c r="G52" i="8"/>
  <c r="F97" i="8"/>
  <c r="E97" i="8" s="1"/>
  <c r="L409" i="8"/>
  <c r="E409" i="8" s="1"/>
  <c r="T406" i="8"/>
  <c r="G381" i="8"/>
  <c r="G477" i="8"/>
  <c r="F477" i="8" s="1"/>
  <c r="W482" i="8"/>
  <c r="S482" i="8"/>
  <c r="V481" i="8"/>
  <c r="P481" i="8"/>
  <c r="W478" i="8"/>
  <c r="W477" i="8" s="1"/>
  <c r="V478" i="8"/>
  <c r="G466" i="8"/>
  <c r="F466" i="8" s="1"/>
  <c r="W468" i="8"/>
  <c r="L468" i="8" s="1"/>
  <c r="E468" i="8" s="1"/>
  <c r="W467" i="8"/>
  <c r="P467" i="8"/>
  <c r="W455" i="8"/>
  <c r="L455" i="8" s="1"/>
  <c r="E455" i="8" s="1"/>
  <c r="W453" i="8"/>
  <c r="L453" i="8" s="1"/>
  <c r="E453" i="8" s="1"/>
  <c r="W452" i="8"/>
  <c r="V452" i="8"/>
  <c r="G213" i="8"/>
  <c r="F213" i="8" s="1"/>
  <c r="W218" i="8"/>
  <c r="L218" i="8" s="1"/>
  <c r="E218" i="8" s="1"/>
  <c r="W217" i="8"/>
  <c r="L406" i="8" l="1"/>
  <c r="F52" i="8"/>
  <c r="E52" i="8" s="1"/>
  <c r="W447" i="8"/>
  <c r="P466" i="8"/>
  <c r="L467" i="8"/>
  <c r="E467" i="8" s="1"/>
  <c r="V477" i="8"/>
  <c r="L478" i="8"/>
  <c r="E478" i="8" s="1"/>
  <c r="S477" i="8"/>
  <c r="L482" i="8"/>
  <c r="E482" i="8" s="1"/>
  <c r="L217" i="8"/>
  <c r="E217" i="8" s="1"/>
  <c r="W213" i="8"/>
  <c r="W466" i="8"/>
  <c r="L481" i="8"/>
  <c r="E481" i="8" s="1"/>
  <c r="P477" i="8"/>
  <c r="V213" i="8"/>
  <c r="V447" i="8"/>
  <c r="L452" i="8"/>
  <c r="E452" i="8" s="1"/>
  <c r="N149" i="8"/>
  <c r="L205" i="8"/>
  <c r="E205" i="8" s="1"/>
  <c r="X515" i="8"/>
  <c r="W515" i="8"/>
  <c r="V515" i="8"/>
  <c r="U515" i="8"/>
  <c r="T515" i="8"/>
  <c r="S515" i="8"/>
  <c r="R515" i="8"/>
  <c r="Q515" i="8"/>
  <c r="P515" i="8"/>
  <c r="O515" i="8"/>
  <c r="N515" i="8"/>
  <c r="M515" i="8"/>
  <c r="K515" i="8"/>
  <c r="J515" i="8"/>
  <c r="I515" i="8"/>
  <c r="H515" i="8"/>
  <c r="G515" i="8"/>
  <c r="X514" i="8"/>
  <c r="W514" i="8"/>
  <c r="V514" i="8"/>
  <c r="U514" i="8"/>
  <c r="T514" i="8"/>
  <c r="S514" i="8"/>
  <c r="R514" i="8"/>
  <c r="Q514" i="8"/>
  <c r="P514" i="8"/>
  <c r="O514" i="8"/>
  <c r="N514" i="8"/>
  <c r="M514" i="8"/>
  <c r="K514" i="8"/>
  <c r="J514" i="8"/>
  <c r="I514" i="8"/>
  <c r="H514" i="8"/>
  <c r="G507" i="8"/>
  <c r="F507" i="8" s="1"/>
  <c r="E507" i="8" s="1"/>
  <c r="G459" i="8"/>
  <c r="F459" i="8" s="1"/>
  <c r="E459" i="8" s="1"/>
  <c r="F406" i="8"/>
  <c r="G396" i="8"/>
  <c r="F396" i="8" s="1"/>
  <c r="E396" i="8" s="1"/>
  <c r="X381" i="8"/>
  <c r="X380" i="8" s="1"/>
  <c r="W381" i="8"/>
  <c r="W380" i="8" s="1"/>
  <c r="V381" i="8"/>
  <c r="V380" i="8" s="1"/>
  <c r="U381" i="8"/>
  <c r="U380" i="8" s="1"/>
  <c r="T381" i="8"/>
  <c r="T380" i="8" s="1"/>
  <c r="S381" i="8"/>
  <c r="S380" i="8" s="1"/>
  <c r="R381" i="8"/>
  <c r="R380" i="8" s="1"/>
  <c r="Q381" i="8"/>
  <c r="Q380" i="8" s="1"/>
  <c r="P381" i="8"/>
  <c r="P380" i="8" s="1"/>
  <c r="N381" i="8"/>
  <c r="N380" i="8" s="1"/>
  <c r="M381" i="8"/>
  <c r="M380" i="8" s="1"/>
  <c r="F381" i="8"/>
  <c r="G233" i="8"/>
  <c r="F233" i="8" s="1"/>
  <c r="E233" i="8" s="1"/>
  <c r="G163" i="8"/>
  <c r="F163" i="8" s="1"/>
  <c r="G150" i="8"/>
  <c r="F150" i="8" s="1"/>
  <c r="E150" i="8" s="1"/>
  <c r="L477" i="8" l="1"/>
  <c r="E477" i="8" s="1"/>
  <c r="L514" i="8"/>
  <c r="L447" i="8"/>
  <c r="E447" i="8" s="1"/>
  <c r="L213" i="8"/>
  <c r="E213" i="8" s="1"/>
  <c r="G380" i="8"/>
  <c r="L149" i="8"/>
  <c r="L515" i="8"/>
  <c r="F515" i="8"/>
  <c r="G514" i="8"/>
  <c r="F514" i="8" s="1"/>
  <c r="L466" i="8"/>
  <c r="E466" i="8" s="1"/>
  <c r="G149" i="8"/>
  <c r="K380" i="8"/>
  <c r="H354" i="8"/>
  <c r="M354" i="8"/>
  <c r="M9" i="8" s="1"/>
  <c r="Q354" i="8"/>
  <c r="Q9" i="8" s="1"/>
  <c r="U354" i="8"/>
  <c r="U9" i="8" s="1"/>
  <c r="I354" i="8"/>
  <c r="N354" i="8"/>
  <c r="N9" i="8" s="1"/>
  <c r="R354" i="8"/>
  <c r="R9" i="8" s="1"/>
  <c r="V354" i="8"/>
  <c r="V9" i="8" s="1"/>
  <c r="X354" i="8"/>
  <c r="X9" i="8" s="1"/>
  <c r="J380" i="8"/>
  <c r="G354" i="8"/>
  <c r="P354" i="8"/>
  <c r="P9" i="8" s="1"/>
  <c r="T354" i="8"/>
  <c r="T9" i="8" s="1"/>
  <c r="K354" i="8"/>
  <c r="W354" i="8"/>
  <c r="W9" i="8" s="1"/>
  <c r="H380" i="8"/>
  <c r="G488" i="8"/>
  <c r="F488" i="8" s="1"/>
  <c r="E488" i="8" s="1"/>
  <c r="O381" i="8"/>
  <c r="O380" i="8" s="1"/>
  <c r="J354" i="8"/>
  <c r="S354" i="8"/>
  <c r="S9" i="8" s="1"/>
  <c r="O354" i="8"/>
  <c r="I380" i="8"/>
  <c r="E406" i="8"/>
  <c r="G9" i="8" l="1"/>
  <c r="H9" i="8"/>
  <c r="J9" i="8"/>
  <c r="E514" i="8"/>
  <c r="F149" i="8"/>
  <c r="K9" i="8"/>
  <c r="O9" i="8"/>
  <c r="I9" i="8"/>
  <c r="E515" i="8"/>
  <c r="L354" i="8"/>
  <c r="L380" i="8"/>
  <c r="L381" i="8"/>
  <c r="E381" i="8" s="1"/>
  <c r="F380" i="8"/>
  <c r="F354" i="8"/>
  <c r="E380" i="8" l="1"/>
  <c r="E354" i="8"/>
  <c r="E149" i="8"/>
  <c r="E163" i="8"/>
  <c r="F9" i="8"/>
  <c r="L9" i="8" l="1"/>
  <c r="E9" i="8" l="1"/>
  <c r="G6" i="31"/>
</calcChain>
</file>

<file path=xl/comments1.xml><?xml version="1.0" encoding="utf-8"?>
<comments xmlns="http://schemas.openxmlformats.org/spreadsheetml/2006/main">
  <authors>
    <author>Trang</author>
  </authors>
  <commentList>
    <comment ref="B21" authorId="0">
      <text>
        <r>
          <rPr>
            <b/>
            <sz val="9"/>
            <color indexed="81"/>
            <rFont val="Tahoma"/>
            <family val="2"/>
            <charset val="163"/>
          </rPr>
          <t>Trang: Tăng huyết áp</t>
        </r>
        <r>
          <rPr>
            <sz val="9"/>
            <color indexed="81"/>
            <rFont val="Tahoma"/>
            <family val="2"/>
            <charset val="163"/>
          </rPr>
          <t xml:space="preserve">
</t>
        </r>
      </text>
    </comment>
  </commentList>
</comments>
</file>

<file path=xl/comments2.xml><?xml version="1.0" encoding="utf-8"?>
<comments xmlns="http://schemas.openxmlformats.org/spreadsheetml/2006/main">
  <authors>
    <author>Trang</author>
  </authors>
  <commentList>
    <comment ref="A7" authorId="0">
      <text>
        <r>
          <rPr>
            <b/>
            <sz val="9"/>
            <color indexed="81"/>
            <rFont val="Tahoma"/>
            <family val="2"/>
            <charset val="163"/>
          </rPr>
          <t>Trang:</t>
        </r>
        <r>
          <rPr>
            <sz val="9"/>
            <color indexed="81"/>
            <rFont val="Tahoma"/>
            <family val="2"/>
            <charset val="163"/>
          </rPr>
          <t xml:space="preserve">
</t>
        </r>
      </text>
    </comment>
  </commentList>
</comments>
</file>

<file path=xl/comments3.xml><?xml version="1.0" encoding="utf-8"?>
<comments xmlns="http://schemas.openxmlformats.org/spreadsheetml/2006/main">
  <authors>
    <author>Trang</author>
  </authors>
  <commentList>
    <comment ref="E397" authorId="0">
      <text>
        <r>
          <rPr>
            <b/>
            <sz val="9"/>
            <color indexed="81"/>
            <rFont val="Tahoma"/>
            <family val="2"/>
            <charset val="163"/>
          </rPr>
          <t>Trang:</t>
        </r>
        <r>
          <rPr>
            <sz val="9"/>
            <color indexed="81"/>
            <rFont val="Tahoma"/>
            <family val="2"/>
            <charset val="163"/>
          </rPr>
          <t xml:space="preserve">
giam 25.955.000 đồng</t>
        </r>
      </text>
    </comment>
  </commentList>
</comments>
</file>

<file path=xl/comments4.xml><?xml version="1.0" encoding="utf-8"?>
<comments xmlns="http://schemas.openxmlformats.org/spreadsheetml/2006/main">
  <authors>
    <author>Trang</author>
  </authors>
  <commentList>
    <comment ref="B21" authorId="0">
      <text>
        <r>
          <rPr>
            <b/>
            <sz val="9"/>
            <color indexed="81"/>
            <rFont val="Tahoma"/>
            <family val="2"/>
            <charset val="163"/>
          </rPr>
          <t>Trang: Tăng huyết áp</t>
        </r>
        <r>
          <rPr>
            <sz val="9"/>
            <color indexed="81"/>
            <rFont val="Tahoma"/>
            <family val="2"/>
            <charset val="163"/>
          </rPr>
          <t xml:space="preserve">
</t>
        </r>
      </text>
    </comment>
  </commentList>
</comments>
</file>

<file path=xl/comments5.xml><?xml version="1.0" encoding="utf-8"?>
<comments xmlns="http://schemas.openxmlformats.org/spreadsheetml/2006/main">
  <authors>
    <author>Trang</author>
  </authors>
  <commentList>
    <comment ref="B19" authorId="0">
      <text>
        <r>
          <rPr>
            <b/>
            <sz val="9"/>
            <color indexed="81"/>
            <rFont val="Tahoma"/>
            <family val="2"/>
            <charset val="163"/>
          </rPr>
          <t>Trang: Tăng huyết áp</t>
        </r>
        <r>
          <rPr>
            <sz val="9"/>
            <color indexed="81"/>
            <rFont val="Tahoma"/>
            <family val="2"/>
            <charset val="163"/>
          </rPr>
          <t xml:space="preserve">
</t>
        </r>
      </text>
    </comment>
  </commentList>
</comments>
</file>

<file path=xl/sharedStrings.xml><?xml version="1.0" encoding="utf-8"?>
<sst xmlns="http://schemas.openxmlformats.org/spreadsheetml/2006/main" count="7200" uniqueCount="1151">
  <si>
    <t>Ngân sách địa phương</t>
  </si>
  <si>
    <t>ATTP</t>
  </si>
  <si>
    <t>CCDS</t>
  </si>
  <si>
    <t>SỞ</t>
  </si>
  <si>
    <t>PHCN</t>
  </si>
  <si>
    <t>Cộng</t>
  </si>
  <si>
    <t>Đà Lạt</t>
  </si>
  <si>
    <t>Lạc Dương</t>
  </si>
  <si>
    <t>Đơn Dương</t>
  </si>
  <si>
    <t>Đức Trọng</t>
  </si>
  <si>
    <t>Lâm Hà</t>
  </si>
  <si>
    <t>Đam Rông</t>
  </si>
  <si>
    <t>Di Linh</t>
  </si>
  <si>
    <t>Bảo Lộc</t>
  </si>
  <si>
    <t>Bảo Lâm</t>
  </si>
  <si>
    <t>Đạ Huoai</t>
  </si>
  <si>
    <t>Đạ Tẻh</t>
  </si>
  <si>
    <t>Cát Tiên</t>
  </si>
  <si>
    <t>Hoạt động phòng, chống lao</t>
  </si>
  <si>
    <t>Hoạt động phòng, chống phong</t>
  </si>
  <si>
    <t>Hoạt động phòng, chống sốt rét</t>
  </si>
  <si>
    <t>Hoạt động phòng, chống sốt xuất huyết</t>
  </si>
  <si>
    <t>Hoạt động bảo vệ sức khỏe tâm thần</t>
  </si>
  <si>
    <t xml:space="preserve">Hoạt động phòng, chống ung thư </t>
  </si>
  <si>
    <t>Hoạt động phòng, chống bệnh phổi tắc nghẽn mãn tính và Hen phế quản  (BPTNMT- HPQ)</t>
  </si>
  <si>
    <t>Hoạt động phục hồi chức năng cho người khuyết tật tại cộng đồng</t>
  </si>
  <si>
    <t>Hoạt động chăm sóc sức khỏe người cao tuổi</t>
  </si>
  <si>
    <t>Hoạt động cải thiện tình trạng dinh dưỡng trẻ em</t>
  </si>
  <si>
    <t>Nâng cao năng lực quản lý chất lượng an toàn vệ sinh thực phẩm</t>
  </si>
  <si>
    <t xml:space="preserve">Thông tin giáo dục truyền thông bảo đảm chất lượng vệ sinh an toàn thực phẩm </t>
  </si>
  <si>
    <t>Phòng chống ngộ độc thực phẩm và các bệnh truyền qua thực phẩm</t>
  </si>
  <si>
    <t>- Dịch hạch</t>
  </si>
  <si>
    <t>Phòng chống tai nạn thương tích và xây dựng cộng đồng an toàn</t>
  </si>
  <si>
    <t>Vệ sinh môi trường</t>
  </si>
  <si>
    <t>KSBT</t>
  </si>
  <si>
    <t>Tập huấn CBYT chống lao tuyến huyện và Xã phường, YTTB, hỗ trợ chuyên môn kỹ thuật cho tuyến dưới</t>
  </si>
  <si>
    <t>In ấn biểu mẫu báo cáo, văn phòng phẩm phuc vụ chương trình</t>
  </si>
  <si>
    <t>Duy tu bảo dưỡng,sửa chữa máy móc thiệt bị phục vụ chương trình</t>
  </si>
  <si>
    <t>Hỗ trợ cán bộ phụ trách xã</t>
  </si>
  <si>
    <t>Chi hỗ trợ cho cán bộ y tế làm công tác khám, phát hiện nguồn lây chính (lao phổi AFB+) tại cộng đồng: 30.000 đồng/bệnh nhân lao AFB+.</t>
  </si>
  <si>
    <t>Chi hỗ trợ cho cán bộ y tế xã trực tiếp khám và đưa bệnh nhân lao tới tổ chống lao.</t>
  </si>
  <si>
    <t>Chi hỗ trợ cho cán bộ y tế trực tiếp cấp phát thuốc, kiểm tra, giám sát bệnh nhân lao trong thời gian 8 tháng điều trị tại cộng đồng.</t>
  </si>
  <si>
    <t>Chi cho CBYT trực tiếp cấp phát thuốc, theo dõi điều trị dự phòng lao trẻ em bằng Rimifon 6 tháng tại gia đình</t>
  </si>
  <si>
    <t>Xử lý chất thải, tiêu huỷ bơm kim tiêm</t>
  </si>
  <si>
    <t xml:space="preserve">Hỗ trợ xét nghiệm nhanh HIV cho bệnh nhân lao: 7.000đ/ bệnh nhân </t>
  </si>
  <si>
    <t>Soi đàm trực tiếp (2 BN lao kháng mới): 31.000đ/mẫu</t>
  </si>
  <si>
    <t>Bảo dưỡng, duy tu máy móc phục vụ chương trình.</t>
  </si>
  <si>
    <t>Chi hỗ trợ CBPT chương trình tuyến xã, huyện</t>
  </si>
  <si>
    <t>Hỗ trợ xét nghiệm và đóng gói mẫu</t>
  </si>
  <si>
    <t>Chi hoạt động chuyên môn khác phát sinh trong năm</t>
  </si>
  <si>
    <t>Chi thù lao cho người phát phiếu mời triển khai trước đợt khám</t>
  </si>
  <si>
    <t>Sửa chữa,duy tu, bảo trì, hiệu chỉnh, nội kiểm, ngoại kiểm trang thiết bị y tế phục vụ chương trình.</t>
  </si>
  <si>
    <t>Chi hỗ trợ CBYT trực tiếp cấp phát thuốc và theo dõi bệnh nhân phong đa hóa trị liệu tại nhà.</t>
  </si>
  <si>
    <t>In Phiếu khám sàng lọc</t>
  </si>
  <si>
    <t>Chi hỗ trợ cho cán bộ y tế, tuyến xã được phân công cấp phát thuốc định kỳ cho bệnh nhân tâm thần phân liệt</t>
  </si>
  <si>
    <t>Chi thù lao cho nhân viên y tế thôn bản phục hồi chức năng cho bệnh nhân tâm thần tại cộng đồng</t>
  </si>
  <si>
    <t>Tập huấn cho cán bộ y tế về chẩn đoán điều trị</t>
  </si>
  <si>
    <t xml:space="preserve">Công giám sát côn trùng </t>
  </si>
  <si>
    <t>Công giám sát vùng SR biến động</t>
  </si>
  <si>
    <t>Hỗ trợ công tác phun tẩm</t>
  </si>
  <si>
    <t>Định loại muỗi</t>
  </si>
  <si>
    <t>Hỗ trợ công bắt muỗi</t>
  </si>
  <si>
    <t>Hỗ trợ điểm kính</t>
  </si>
  <si>
    <t>Đào tạo tập huấn</t>
  </si>
  <si>
    <t>Chi phí hủy lam máu</t>
  </si>
  <si>
    <t>Công phun tẩm</t>
  </si>
  <si>
    <t>Hỗ trợ công giám sát tẩy giun</t>
  </si>
  <si>
    <t>Bảo trì sữa chữa kình hiển vi</t>
  </si>
  <si>
    <t>Tập huấn chuyên môn</t>
  </si>
  <si>
    <t>Giám sát huyết thanh, virus</t>
  </si>
  <si>
    <t xml:space="preserve">Vận chuyển mẫu </t>
  </si>
  <si>
    <t>Giám sát côn trùng</t>
  </si>
  <si>
    <t>Giám sát vec tơ các điểm SXH gia tăng</t>
  </si>
  <si>
    <t xml:space="preserve"> Sửa chữa bào trì  máy phun</t>
  </si>
  <si>
    <t>Tập huấn chuyên môn (về khám sàng lọc, phát hiện sớm, quản lý và điều trị bệnh nhân THA tại cộng đồng; nâng cao năng lực)</t>
  </si>
  <si>
    <t>Hỗ trợ cộng tác viên, nhân viên y tế quản lý bệnh nhân tại  xã, phường đã qua khám sàng lọc</t>
  </si>
  <si>
    <t>Tham dự hội nghị tuyến trên</t>
  </si>
  <si>
    <t>In sổ quản lý bệnh nhân THA</t>
  </si>
  <si>
    <t>In giấy mời mời người dân khám sàng lọc</t>
  </si>
  <si>
    <t xml:space="preserve">In phiếu khám sàng lọc </t>
  </si>
  <si>
    <t>In sổ khám và điều trị THA</t>
  </si>
  <si>
    <t>Hỗ trợ cán bộ tham gia khám sàng lọc trực tiếp</t>
  </si>
  <si>
    <t xml:space="preserve">Hỗ trợ cán bộ tham gia phục vụ khám sàng lọc </t>
  </si>
  <si>
    <t xml:space="preserve">Thuê bàn, ghế, phông bạt phục vụ khám sàng lọc </t>
  </si>
  <si>
    <t>Chi hỗ trợ nước uống cho người đến khám sàng lọc (phục vụ điều tra 20.000 người)</t>
  </si>
  <si>
    <t xml:space="preserve">Hỗ trợ cộng tác viên lập danh sách, gửi giấy mời </t>
  </si>
  <si>
    <t>Tập huấn khám điều tra</t>
  </si>
  <si>
    <t>Tập huấn tuyến trên</t>
  </si>
  <si>
    <t>Khám sàng lọc điều tra ĐTĐ tại cộng đồng</t>
  </si>
  <si>
    <t>Chi công tác xét nghiệm nhanh mẫu muối I ốt</t>
  </si>
  <si>
    <t>Chi lấy mẫu xét nghiệm 2000/mẫu</t>
  </si>
  <si>
    <t>Chi hỗ trợ cán bộ cơ sở hướng dẫn tập , phục hồi chức năng một lần cho bệnh nhân mắc bệnh phổi tắc nghẽn mãn tính và hen  phế quản tại cộng đồng</t>
  </si>
  <si>
    <t>Tập huấn</t>
  </si>
  <si>
    <t>Hỗ trợ cán bộ phụ trách  huyện,xã</t>
  </si>
  <si>
    <t>Tổ chức tẩy giun cho các trường điểm</t>
  </si>
  <si>
    <t>Hỗ trợ cán bộ chuyên trách TCMR</t>
  </si>
  <si>
    <t>Công giám sát</t>
  </si>
  <si>
    <t>Hỗ trợ lấy mẫu xét nghiệm</t>
  </si>
  <si>
    <t>Triển khai chiến dịch tiêm vắc xin Td</t>
  </si>
  <si>
    <t>Nhóm hoạt động làm mẹ an toàn</t>
  </si>
  <si>
    <t>Tổ chức các buổi tư vấn về chăm sóc sức khỏe sinh sản tuyến xã</t>
  </si>
  <si>
    <t xml:space="preserve">Khám phụ khoa sàng lọc bệnh nhiễm khuẩn đường sinh sản và phát hiện sớm ung thư cổ tử cung tại cộng đồng </t>
  </si>
  <si>
    <t>Nhóm hoạt động khác</t>
  </si>
  <si>
    <t>Tập huấn về cấp cứu sản khoa</t>
  </si>
  <si>
    <t>Tập huấn lồng ghép trẻ bệnh</t>
  </si>
  <si>
    <t>Tập huấn về người đỡ đẻ có kỹ năng (SBA) và chăm sóc thiết yếu bà mẹ và trẻ sơ sinh trong và ngay sau đẻ(EENC)</t>
  </si>
  <si>
    <t>Tập huấn về công tác thống kê báo cáo</t>
  </si>
  <si>
    <t>Dự phòng và phát hiện sớm các bệnh 
nhiễm khuẩn, ung thư đường sinh sản</t>
  </si>
  <si>
    <t>Hoạt động khác ( hỗ trợ TTB tuyến
tỉnh, huyện, xã, biểu mẫu báo cáo…)</t>
  </si>
  <si>
    <t>Nhóm  hoạt động về chăm sóc sức khỏe sinh sản</t>
  </si>
  <si>
    <t>Nhóm hoạt động về phá thai an toàn</t>
  </si>
  <si>
    <t>Nhóm hoạt động về chăm sóc trẻ em</t>
  </si>
  <si>
    <t>Tập huấn về hồi sức cấp cứu</t>
  </si>
  <si>
    <t>Tập huấn kiến thức DA CTTTDDTE</t>
  </si>
  <si>
    <t xml:space="preserve">Thực hành dinh dưỡng cho bà mẹ có con 5 tuổi bị SDD </t>
  </si>
  <si>
    <t>Thực hành dinh dưỡng cho bà mẹ mang thai</t>
  </si>
  <si>
    <t>Phục hồi dinh dưỡng trẻ suy dinh dưỡng</t>
  </si>
  <si>
    <t>Mở lớp tư vấn dinh dưỡng</t>
  </si>
  <si>
    <t>Hổ trợ  chuyên trách dinh dưỡng xã phường trọng điểm</t>
  </si>
  <si>
    <t>Hổ trợ cộng tác viên dinh dưỡng xã phường trọng điểm</t>
  </si>
  <si>
    <t>Hổ trợ chiến dịch cân đo trẻ dưới 5 tuổi</t>
  </si>
  <si>
    <t xml:space="preserve">Giám sát hổ trợ </t>
  </si>
  <si>
    <t>Hoạt động giáo dục dinh dưỡng (tư vấn dd,  phụ nữ, hướng dẫn thực hành dd, phối hợp với đoàn TN,)</t>
  </si>
  <si>
    <t>Tập huấn chuyên trách, CTV (huyện, xã)</t>
  </si>
  <si>
    <t>Hỗ trợ cân, thước đo, biểu đồ</t>
  </si>
  <si>
    <t>Điều tra tình trạng dinh dưỡng trẻ em dưới 5 tuổi (30 cụm, xã, phường)</t>
  </si>
  <si>
    <t>Hỗ trợ cán bộ Y tế trong các đợt uống vitamin A</t>
  </si>
  <si>
    <t>Đào tạo tập huấn tuyến trên</t>
  </si>
  <si>
    <t>- Tập huấn triển khai uống Vitamin A:</t>
  </si>
  <si>
    <t>Nhóm hoạt động 1- dinh dưỡng trẻ em</t>
  </si>
  <si>
    <t>Nhóm hoạt động 2 - vitamin A</t>
  </si>
  <si>
    <t>Hiệu chuẩn trang thiết bị xét nghiệm</t>
  </si>
  <si>
    <t>Đào tạo, tập huấn chuyên môn về ATTP cho tuyến cơ sở</t>
  </si>
  <si>
    <t>Thực hiện chương trình thử nghiệm thành thạo</t>
  </si>
  <si>
    <t>Văn phòng phẩm vật tư tiêu hao, in ấn sổ sách chuyên môn cho chương trình</t>
  </si>
  <si>
    <t>Chi phụ cấp cho đồng đẳng viên, thăm hỏi, sinh hoạt nhóm giáo dục đồng đẳng</t>
  </si>
  <si>
    <t xml:space="preserve">Hợp đồng xét nghiệm với huyện </t>
  </si>
  <si>
    <t>Bảo dưỡng trang thiết bị chuyên môn và ngoại kiểm phòng xét nghiệm</t>
  </si>
  <si>
    <t>Đào tạo, tập huấn về theo dõi, kiểm tra, giám sát, đánh giá và truyền thông về các nội dung của chương trình tuyến huyện</t>
  </si>
  <si>
    <t>TT trên phương tiện thông tin đại chúng 
(Phát thông điệp TH, TT, báo lâm đồng, loa xã phường, thị trấn...)</t>
  </si>
  <si>
    <t>Sản xuất tài liệu truyền thông (tờ rơi, áp phích, băng rôn, pano, đĩa, …)</t>
  </si>
  <si>
    <t>Tổ chức các hoạt động truyền thông, giáo dục, tư vấn về y tế dân số và ATTP</t>
  </si>
  <si>
    <t xml:space="preserve"> - Tổ chức các buổi truyền thông trực tiếp tại cơ sở </t>
  </si>
  <si>
    <t xml:space="preserve">Tổ chức tháng hành động vì ATVSTP tuyến tỉnh, huyện/ thành phố  </t>
  </si>
  <si>
    <t>Huy động kênh truyền thông và lực lượng truyền thông ( Hợp đồng với Đài phát thanh truyền hình Lâm Đồng)</t>
  </si>
  <si>
    <t>Tập huấn về cho các cơ sở thực phẩm công tác đảm bảo ATTP</t>
  </si>
  <si>
    <t>Triển khai đội truyền thông cơ động tuyên truyền ATTP trên địa bàn tỉnh vào đợt cao điểm</t>
  </si>
  <si>
    <t>1.1</t>
  </si>
  <si>
    <t>Đảm bảo hậu cần và cung cấp dịch vụ kế hoạch hóa gia đình</t>
  </si>
  <si>
    <t>Quản lý Chương trình dân số xã</t>
  </si>
  <si>
    <t>1.2</t>
  </si>
  <si>
    <t>Chi phí dịch vụ KHHGĐ</t>
  </si>
  <si>
    <t>1.4</t>
  </si>
  <si>
    <t>Bảo quản, vận chuyển phương tiện tránh thai, LMIS</t>
  </si>
  <si>
    <t>1.5</t>
  </si>
  <si>
    <t>1.6</t>
  </si>
  <si>
    <t>Hỗ trợ phụ nữ thuộc hộ nghèo là người dân tộc thiểu số sinh con đúng chính sách theo NĐ 39/NĐ-CP</t>
  </si>
  <si>
    <t>1.7</t>
  </si>
  <si>
    <t>Xây dựng chính sách, tiêu chuẩn, hướng dẫn chuyên môn</t>
  </si>
  <si>
    <t>1.8</t>
  </si>
  <si>
    <t xml:space="preserve"> Chính sách khuyến khích; Sơ kết 5 năm thực hiện chiến lược và tuyên dương cán bộ cơ sở.</t>
  </si>
  <si>
    <t>1.9</t>
  </si>
  <si>
    <t>Tập huấn chuyên môn nghiệp vụ</t>
  </si>
  <si>
    <t>Nâng cao chất lượng dân số về thể chất</t>
  </si>
  <si>
    <t>Tập huấn tuyên truyền viên &amp; kỹ thuật lấy máu gót chân tuyến huyện, xã</t>
  </si>
  <si>
    <t xml:space="preserve"> Chi phí kỹ thuật, dịch vụ Sàng lọc bà mẹ mang thai và trẻ sơ sinh</t>
  </si>
  <si>
    <t>2.2</t>
  </si>
  <si>
    <t>Tổ chức các hoạt động truyền thông, Tư vấn trực tiếp tại cộng đồng, Nhân bản tài liệu truyền thông.</t>
  </si>
  <si>
    <t>Nói chuyện chuyên đề tại cộng đồng</t>
  </si>
  <si>
    <t>Tập huấn kỹ năng truyền thông, kiến thức và kỹ năng thực hiện cho chủ nhiệm CLB, cán bộ xã, huyện; Tập huấn kỹ thuật khám sức khoẻ, xét nghiệm cơ bản cho cán bộ y tế</t>
  </si>
  <si>
    <t>Xây dựng và duy trì hoạt động câu lạc bộ tiền hôn nhân và học tập kinh nghiệm</t>
  </si>
  <si>
    <t xml:space="preserve">Khám sức khoẻ </t>
  </si>
  <si>
    <t>2.3</t>
  </si>
  <si>
    <t>Giảm thiểu mất cân bằng giới tính khi sinh</t>
  </si>
  <si>
    <t>Tổ chức nói truyện chuyên đề về giới tính khi sinh tại cộng đồng</t>
  </si>
  <si>
    <t xml:space="preserve">Các hoạt động hội nghị, hội thảo về mất cân bằng giới tính khi sinh. </t>
  </si>
  <si>
    <t>Tập huấn cung cấp kiến thức, kỹ năng tuyên truyền, tư vấn về giới  và giới tính khi sinh cho CTV dân số, CBCT, CB Tư pháp xã</t>
  </si>
  <si>
    <t>Khảo sát thực trạng mất cân bằng giới tính khi sinh</t>
  </si>
  <si>
    <t>Đưa nội dung về MCBGTKS vào các trường chính trị, trung học phổ thông, các trường Y</t>
  </si>
  <si>
    <t>Xây dựng thử nghiệm mô hình, CLB</t>
  </si>
  <si>
    <t>Kiểm tra, giám sát các cơ sở thực hiện DV siêu âm, Nạo, phá thai, các cơ sở cung cấp tài liệu về mục đích lựa chọn giới tính.</t>
  </si>
  <si>
    <t>Thực hiện chương trình các cấp, Các hoạt động quản lý báo cáo</t>
  </si>
  <si>
    <t>Củng cố, hoàn thiện hệ thống cung cấp dịch vụ CSSKBĐ, KCB cho người cao tuổi.</t>
  </si>
  <si>
    <t>Xây dựng chăm sóc sức khỏe dài hạn cho người cao tuổi</t>
  </si>
  <si>
    <t>Phát triển nguồn nhân lực chăm sóc sức khỏe người cao tuổi:</t>
  </si>
  <si>
    <t>Xây dựng phong trào xã, phường phù hợp với người cao tuổi</t>
  </si>
  <si>
    <t>Chi bồi dưỡng CB y tế đi giám sát tuyến huyện, xã</t>
  </si>
  <si>
    <t>In sổ quản lý ca bệnh, phiếu điều tra</t>
  </si>
  <si>
    <t>Bảo dưỡng, sữa chữa máy phun</t>
  </si>
  <si>
    <t xml:space="preserve">Xử lý ổ dịch </t>
  </si>
  <si>
    <t>Đào tạo tập huấn nâng cao lực cho cán bộ y tế  huyện, xã, y tế thôn bản về phòng chống tai nạn thương tích / Sơ cấp cứu</t>
  </si>
  <si>
    <t xml:space="preserve">Mua tài sản, dụng cụ, trang phục làm việc </t>
  </si>
  <si>
    <t>Bảo trì, bảo dưỡng, nâng cấp trang thiết bị</t>
  </si>
  <si>
    <t>Công tác y tế lao động; phòng chống bệnh nghề nghiệp</t>
  </si>
  <si>
    <t xml:space="preserve">In biểu mẫu </t>
  </si>
  <si>
    <t>Mua dụng cụ</t>
  </si>
  <si>
    <t>Chi hỗ trợ cán bộ chuyên trách, hỗ trợ tư vấn cho NKT'</t>
  </si>
  <si>
    <t>Đều tra thống kê</t>
  </si>
  <si>
    <t>Khám sức khỏe định  kỳ, khám sáng lọc</t>
  </si>
  <si>
    <t>Khám sàng lọc trẻ khuyết tật &lt;6t</t>
  </si>
  <si>
    <t>Khám sàng lọc kết hợp khám sk chỉ định PHCN cho NKT</t>
  </si>
  <si>
    <t>Nâng cao chất lượng dân số các dân tộc ít người tại cộng đồng, giảm thiểu tình trạng tảo hôn, hôn nhân cận huyết</t>
  </si>
  <si>
    <t xml:space="preserve">Tư vấn nâng cao nhận thức và thay đổi hành vi đối với công tác giảm thiểu tình trạng tảo hôn và hôn nhân cận huyết </t>
  </si>
  <si>
    <t>Phát triển nguồn nhân lực tình nguyện viên</t>
  </si>
  <si>
    <t xml:space="preserve">Bảo dưỡng tủ lạnh dây truyền lạnh bảo quản vaccin </t>
  </si>
  <si>
    <t xml:space="preserve">Xây dựng cộng đồng an toàn </t>
  </si>
  <si>
    <t>In bảng cam kết hộ gia đình</t>
  </si>
  <si>
    <t>Xăng xe, nhớt, vận chuyển phục vụ chống dịch</t>
  </si>
  <si>
    <t>Hỗ trợ quan trắc môi trường</t>
  </si>
  <si>
    <t>Hiệu chỉnh trang thiết bị y tế phục vụ chương trình.</t>
  </si>
  <si>
    <t>Chi hỗ trợ lấy bệnh phẩm</t>
  </si>
  <si>
    <t>Tập huấn cho CBYT tuyến, Huyện, TP, Xã Phường</t>
  </si>
  <si>
    <t xml:space="preserve">Hỗ trợ cán bộ phụ trách tuyến xã </t>
  </si>
  <si>
    <t>Hỗ trợ GS súc miệng Fluor cho học sinh tiểu học:</t>
  </si>
  <si>
    <t>Hỗ trợ rủi ro do tai biến sau tiêm chủng</t>
  </si>
  <si>
    <t>In sổ sách phục vụ chương trình dinh dưỡng</t>
  </si>
  <si>
    <t xml:space="preserve">Thuê nhân công phun hóa chất </t>
  </si>
  <si>
    <t>Trực phòng chống dịch thứ bảy, chủ nhật ( 104 ngày /năm )</t>
  </si>
  <si>
    <t>Mua lồng bẫy</t>
  </si>
  <si>
    <t>Mua mồi đặt bẫy</t>
  </si>
  <si>
    <t>Thuê công đặt bẫy</t>
  </si>
  <si>
    <t>Xử lí bọ chét thuê công phun hóa chất phòng 
 chống dịch hạch</t>
  </si>
  <si>
    <t>Hỗ trợ cán bộ đi kiểm tra đánh giá VSMT và đánh giá 3 
công trình vệ sinh</t>
  </si>
  <si>
    <t>Phòng chống thiên tai, thảm họa, ứng phó với biến đổi khí hậu</t>
  </si>
  <si>
    <t>Thuốc vật tư</t>
  </si>
  <si>
    <t>Đào tạo tập huấn về hoạt động truyền máu và an toàn truyền máu</t>
  </si>
  <si>
    <t>Tuyên truyền công tác an toàn truyền máu</t>
  </si>
  <si>
    <t>Rà soát, sắp xếp đơn vị y tế dự bị động viên</t>
  </si>
  <si>
    <t>Đơn vị tính : 1000 Đồng</t>
  </si>
  <si>
    <t>Tổ chức kiểm tra giám sát, hỗ trợ an toàn truyền máu tại các đơn vị trong ngành</t>
  </si>
  <si>
    <t>Chi bồi dưỡng CBYT đi giám sát SR</t>
  </si>
  <si>
    <t>In ấn tài liệu,</t>
  </si>
  <si>
    <t>In ấn tài liệu, biểu mẫu chuyên môn</t>
  </si>
  <si>
    <t>Chi hỗ trợ cán bộ y tế cho trẻ uống và tiêm vaccin tiêm chủng</t>
  </si>
  <si>
    <t>Kinh phí  Phòng, chống một số bệnh truyền nhiễm</t>
  </si>
  <si>
    <t>Kinh phí  Phòng, chống một số bệnh  không lây nhiễm phổ biến</t>
  </si>
  <si>
    <t xml:space="preserve"> Tiêm chủng mở rộng</t>
  </si>
  <si>
    <t xml:space="preserve">Hoạt động phòng, chống bệnh đái tháo đường </t>
  </si>
  <si>
    <t xml:space="preserve"> An toàn vệ sinh thực phẩm</t>
  </si>
  <si>
    <t xml:space="preserve">  Quân dân y kết hợp</t>
  </si>
  <si>
    <t>Chăm sóc sức khoẻ học sinh</t>
  </si>
  <si>
    <t>Thông tin, truyền thông Y tế</t>
  </si>
  <si>
    <t xml:space="preserve"> Theo dõi, kiểm tra, giám sát, đánh giá thực hiện chương trình </t>
  </si>
  <si>
    <t>Kinh phí phòng chống dịch lưu hànhtại địa phương, dịch mới nổi và phòng chống thiên tai thảm hoạ</t>
  </si>
  <si>
    <t>TỔNG CỘNG</t>
  </si>
  <si>
    <t>3a</t>
  </si>
  <si>
    <t>3b</t>
  </si>
  <si>
    <t>3c</t>
  </si>
  <si>
    <t>3e</t>
  </si>
  <si>
    <t>6a</t>
  </si>
  <si>
    <t xml:space="preserve"> HOẠT ĐỘNG Y TẾ DỰ PHÒNG  - DÂN SỐ PHÁT TRIỂN</t>
  </si>
  <si>
    <t>2a</t>
  </si>
  <si>
    <t>2b</t>
  </si>
  <si>
    <t>2c</t>
  </si>
  <si>
    <t>2d</t>
  </si>
  <si>
    <t>10b</t>
  </si>
  <si>
    <t>QUẢN LÝ SỨC KHOẺ NGƯỜI DÂN</t>
  </si>
  <si>
    <t>Kiểm dịch y tế quốc tế</t>
  </si>
  <si>
    <t>6b</t>
  </si>
  <si>
    <t>9a</t>
  </si>
  <si>
    <t>9b</t>
  </si>
  <si>
    <t>Tổ chức lễ mít tinh tháng cao điểm</t>
  </si>
  <si>
    <t>Thông tin, truyền thông Y tế lĩnh vực Y tế dự phòng</t>
  </si>
  <si>
    <t>Thông tin, truyền thông Y tế lĩnh vực ATVSTP</t>
  </si>
  <si>
    <t>Thông tin, truyền thông Y tế lĩnh vực Dân số phát triển</t>
  </si>
  <si>
    <t xml:space="preserve"> Theo dõi, kiểm tra, giám sát, đánh giá  lĩnh vực Y tế lĩnh vực Y tế dự phòng</t>
  </si>
  <si>
    <t xml:space="preserve"> Theo dõi, kiểm tra, giám sát, đánh giá  lĩnh vực Y tế lĩnh vực ATTP</t>
  </si>
  <si>
    <t xml:space="preserve"> Theo dõi, kiểm tra, giám sát, đánh giá  lĩnh vực Y tế dân số phát triển</t>
  </si>
  <si>
    <t>19a</t>
  </si>
  <si>
    <t>19b</t>
  </si>
  <si>
    <t>19c</t>
  </si>
  <si>
    <t>19d</t>
  </si>
  <si>
    <t>Chính sách hỗ trợ triệt sản, trợ cấp tai biến</t>
  </si>
  <si>
    <t xml:space="preserve"> Hệ thống thông tin quản lý, thu thập, duy trì kho dữ liệu, đổi sổ A0</t>
  </si>
  <si>
    <t xml:space="preserve"> Nói chuyện chuyên đề tại cộng đồng;Tư vấn trực tiếp cho đối tượng; Nhân bản tài liệu truyền thông</t>
  </si>
  <si>
    <t>Tạo môi trường xã hội đồng thuận tham gia chăm sóc sức khỏe người cao tuổi</t>
  </si>
  <si>
    <t>Củng cố, xây dựng hệ thống chỉ báo thống kê về quản lý chăm sóc sức khỏe người cao tuổi, lập hồ sơ quản lý chăm sóc người cao tuổi tại trạm y tế</t>
  </si>
  <si>
    <t>6c</t>
  </si>
  <si>
    <t>Chi hỗ trợ công tác lấy mẫu, công tác tư vấn, vận chuyển mẫu</t>
  </si>
  <si>
    <t xml:space="preserve"> Theo dõi, kiểm tra, giám sát, đánh giá  lĩnh vực Y tế  chăm sóc người tàn tật; Quân dân y, an toàn truyền máu và quản lý sức khoẻ người dân, </t>
  </si>
  <si>
    <t>Thông tin, truyền thông Y tế lĩnh vực chăm sóc người tàn tật; Quân dân y an toàn truyền máu và quản lý sức khoẻ người dân</t>
  </si>
  <si>
    <t>20a</t>
  </si>
  <si>
    <t>20b</t>
  </si>
  <si>
    <t>20c</t>
  </si>
  <si>
    <t>20d</t>
  </si>
  <si>
    <t>Sơ kết, tổng kết dự án. Kiểm tra, giám sát, phối hợp giám sát, tham gia phòng chống dịch bệnh</t>
  </si>
  <si>
    <t>Xăng xe giám sát và hỗ trợ công giám sát; tập huấn tuyến trên, học tập kinh nghiệm về KDYT</t>
  </si>
  <si>
    <t>Xây dựng nội dung thông điệp truyền thông (dựng mới, sửa chữa Pano áp phích, In tờ rơi, In sang băng đĩa, phóng sự…)</t>
  </si>
  <si>
    <t>Tuyên truyền công tác quản lý sức khỏe toàn dân</t>
  </si>
  <si>
    <t>1.3</t>
  </si>
  <si>
    <t>Mua hoá chất</t>
  </si>
  <si>
    <t>Vật tư tiêu hao</t>
  </si>
  <si>
    <t xml:space="preserve">Thuốc </t>
  </si>
  <si>
    <t>Công giám sát, tập huấn tại tuyến huyện và tuyến trên</t>
  </si>
  <si>
    <t>Vật liệu truyền thông- dịch covid</t>
  </si>
  <si>
    <t>Giám sát hoạt động PHCN cộng đồng</t>
  </si>
  <si>
    <t>Tập huấn về phòng chống HIV/AIDS, hoạt động nhóm hỗ trợ kỹ thuật về HIV/AIDS…</t>
  </si>
  <si>
    <t>Phương tiện tránh thai</t>
  </si>
  <si>
    <t>1.10</t>
  </si>
  <si>
    <t>2.1</t>
  </si>
  <si>
    <t>Trang thiết bị quản lý đối tượng, In biểu mẫu báo cáo</t>
  </si>
  <si>
    <t>Biên soạn, nhân bản và cung cấp các tài liệu, sản phẩm truyền thông về mất cân bằng giới tính khi sinh, trang thiết bị truyền thông; Xây dựng các cụm Pano tuyên truyền về giới tính khi sinh tại nơi tập trung đông người</t>
  </si>
  <si>
    <t>Sản xuất và phát sóng các chuyên đề về giới tính khi sinh trên đài truyền hình và trên báo; Xây dựng và phát sóng các chuyên đề về giới tính khi sinh trên đài PT, TH</t>
  </si>
  <si>
    <t>Kiểm tra, giám sát, đánh giá các hoạt động chương trình công tác Dân số và phát triển</t>
  </si>
  <si>
    <t>Hoạt động phòng chống tăng huyết áp</t>
  </si>
  <si>
    <t xml:space="preserve"> - CT Phòng chống dịch lưu hành tại địa phương</t>
  </si>
  <si>
    <t>Tập huấn về phòng chống bệnh truyền nhiễm nguy hiểm và bệnh mới nổi; bệnh tay chân miệng; …</t>
  </si>
  <si>
    <t>Chi hỗ trợ cán bộ làm xét nghiệm</t>
  </si>
  <si>
    <t>Tổng cộng nguồn ĐP</t>
  </si>
  <si>
    <t>STT</t>
  </si>
  <si>
    <t>Khối huyện</t>
  </si>
  <si>
    <t xml:space="preserve">Khối tỉnh </t>
  </si>
  <si>
    <t xml:space="preserve"> Phòng, chống HIV/AIDS</t>
  </si>
  <si>
    <t xml:space="preserve">          DỰ TOÁN CHI HOẠT ĐỘNG Y TẾ DỰ PHÒNG  - DÂN SỐ PHÁT TRIỂN NĂM 2021 TRÊN ĐỊA BÀN TỈNH LÂM ĐỒNG</t>
  </si>
  <si>
    <t>Điều trị , chăm sóc người nhiễm HIV/AIDS</t>
  </si>
  <si>
    <t>11a</t>
  </si>
  <si>
    <t>11b</t>
  </si>
  <si>
    <t>Dự phòng lây nhiễm</t>
  </si>
  <si>
    <t>…</t>
  </si>
  <si>
    <t>Tư vấn xét nghiệm HIV</t>
  </si>
  <si>
    <t>11c</t>
  </si>
  <si>
    <t>Đào tạo tập huấn nâng cao nhận thức, tăng cường năng lực cho cán bộ y tế tuyến tỉnh, huyện, xã về phòng chống thiên tai, thảm họa và ứng phó với biến đổi khí hậu</t>
  </si>
  <si>
    <t>Kiểm tra giám sát tuyến cơ sở về việc thực hiện kế hoạch, hoạt động ứng phó với biến đổi khí hậu tại các cơ sở y tế  trên địa bàn tỉnh</t>
  </si>
  <si>
    <t xml:space="preserve">Tham dự hội nghị, hội thảo, tập huấn, sơ kết, tổng kết, tham quan học tập tuyến trên và tham gia công tác chỉ đạo tuyến </t>
  </si>
  <si>
    <t>Chi khác: Mua sắm trang thiết bị, mua vật dụng sử dụng, bảo hộ, hóa chất phục vụ công tác chuyên môn…</t>
  </si>
  <si>
    <t xml:space="preserve"> Kiểm tra, chỉ đạo tuyến chương trình </t>
  </si>
  <si>
    <t xml:space="preserve"> Nâng cao kiến thức và năng lực phòng chống bệnh tật học đường cho cán bộ chuyên trách ngành y tế, giáo dục </t>
  </si>
  <si>
    <t xml:space="preserve"> Triển khai hoạt động phòng chống VT, CVCS, thừa cân, béo phì, răng miệng, rối loạn tâm thần học đường tẩy giun cho học sinh trên địa bàn tỉnh và trường thí điểm </t>
  </si>
  <si>
    <t xml:space="preserve"> Kiểm tra yếu tố VSMT 30 trường, giám sát công tác truyền thông GDSK, kiểm tra công tác YTTH </t>
  </si>
  <si>
    <t xml:space="preserve"> Dự hội nghị tập huấn TW, in ấn,VPP, quản lý chương trình </t>
  </si>
  <si>
    <t>Tham gia thẩm định cơ sở đủ điều kiện sản xuất, kinh doanh thực phẩm</t>
  </si>
  <si>
    <t>Công tác tập huấn, hội nghị tuyến trên nâng cao năng lực quản lý chương trình</t>
  </si>
  <si>
    <t>Công tác truyền thông ATVSTP</t>
  </si>
  <si>
    <t>Tham gia thanh tra, kiểm tra các cơ sở sản xuất, kinh doanh thực phẩm, dịch vụ ăn uống trong việc đảm bảo ATVSTP theo quy định pháp luật</t>
  </si>
  <si>
    <t>Chi khác: Mua sắm trang thiết bị,mua vật dụng sử dụng… phục vụ công tác chuyên môn</t>
  </si>
  <si>
    <t>Công tác chỉ đạo tuyến, giám sát xây dựng CĐAT &amp; PCTNTT</t>
  </si>
  <si>
    <t>Công tác tập huấn, hội nghị tuyến trên</t>
  </si>
  <si>
    <t>Công tác tập huấn tuyến dưới</t>
  </si>
  <si>
    <t>Công tác tập huấn nâng cao năng lực</t>
  </si>
  <si>
    <t>Công tác kiểm tra, giám sát, tham dự hội nghị, tập huấn tuyến trên, công tác chỉ đạo tuyến</t>
  </si>
  <si>
    <t>Chi khác: Mua sắm trang thiết bị, in ấn biễu mẫu, mua vật dụng sử dụng phục vụ công tác chuyên môn,…</t>
  </si>
  <si>
    <t>Công tác chỉ đạo tuyến, điều tra tai nạn lao động, kiểm tra, giám sát các doanh nghiệp trên địa bàn lâm đồng.</t>
  </si>
  <si>
    <t>Tập huấn VSLĐ cho y tế doanh nghiệp,  cán bộ chuyên trách tuyến huyện, thành phố.</t>
  </si>
  <si>
    <t>Tuyền thông tháng an toàn vệ sinh lao động trên địa bàn lâm đồng</t>
  </si>
  <si>
    <t>Tham gia tập huấn tuyến trên</t>
  </si>
  <si>
    <t>Xây dựng mua máy tính, bàn ghế làm việc, máy QTMTLĐ  phục vụ cho chương trình</t>
  </si>
  <si>
    <t>Kinh phí hoạt động xe nha (xăng xe, công tác phí, phiếu khám, thuốc, vật liệu, bảo trì bảo dưỡng, kiểm định  xe…)</t>
  </si>
  <si>
    <t>Mua và đóng gói Fluor</t>
  </si>
  <si>
    <t>Chi phí quản lý, in ấn chuyền thông, hội nghị, tổng kết …..</t>
  </si>
  <si>
    <t>In vật liệu truyền thông bảng kiểm tra thị lực</t>
  </si>
  <si>
    <t>Đánh giá, tổng kết công tác NHĐ YTTH</t>
  </si>
  <si>
    <t>Hỗ trợ thanh toán tiền tự túc phương tiện đi công tác</t>
  </si>
  <si>
    <t>Cắt băng rôn tuyên truyền các bệnh học đường</t>
  </si>
  <si>
    <t xml:space="preserve">Công tác kiểm tra, giám sát  PCTNTT &amp; XD CĐAT tại xã/phường/thị trấn   </t>
  </si>
  <si>
    <t>Chi khác: Mua sắm trang thiết bị, in ấn biểu mẫu, mua vật dụng sử dụng phục vụ công tác chuyên môn, quản lý chương trình</t>
  </si>
  <si>
    <t>Hỗ trợ kinh phí cho tuyến huyện, cán bộ y tế thôn bản</t>
  </si>
  <si>
    <t>Công tác phí giám sát hỗ trợ chuyên môn 
 cho tuyến xã (16 xã x 1 lần/quý x 4 quý)</t>
  </si>
  <si>
    <t>Thanh toán công tác phí (tiền chi phí đi lại) bằng 
  hình thức khoán tiền tự túc phương tiện đi công 
  tác tại 12 xã, thị trấn có khoảng cách địa giới hành
  chính từ 15 Km trở lên (12 xã x 1 lần/quý x 4 quý)</t>
  </si>
  <si>
    <t>Giám sát dịch tễ tuyến xã</t>
  </si>
  <si>
    <t>Phát thanh tại 16 xã, TT</t>
  </si>
  <si>
    <t>Hỗ trợ tiền thanh toán tự túc phương tiện
  đi công tác tại 12 xã, thị trấn</t>
  </si>
  <si>
    <t>Hỗ trợ cán bộ đi kiểm tra các doanh nghiệp</t>
  </si>
  <si>
    <t>Kiểm tra, giám sát tại tuyến cơ sở</t>
  </si>
  <si>
    <t>Kiểm tra về đảm bảo chất lượng nước sạch</t>
  </si>
  <si>
    <t>Làm pano VSMT</t>
  </si>
  <si>
    <t>Tập huấn, hội nghị, hội thảo về phòng chống HIV/AIDS cho ban ngành, đoàn thể, mạng lưới cán bộ y tế các tuyến, Giao ban Lao/HIV, giao ban nhóm hỗ trợ kỹ thuật về HIV/AIDS</t>
  </si>
  <si>
    <t>Xét nghiệm và giám sát HIV</t>
  </si>
  <si>
    <t>Chi ngoại kiểm phòng xét nghiệm</t>
  </si>
  <si>
    <t>Tư vấn tại cộng đồng</t>
  </si>
  <si>
    <t>Bảo dưỡng trang thiết bị chuyên môn</t>
  </si>
  <si>
    <t>Chi hỗ trợ cán bộ làm công tác tư vấn</t>
  </si>
  <si>
    <t>Chi hỗ trợ công tác lấy mẫu</t>
  </si>
  <si>
    <t>Mua sinh phẩm, vật tư tiêu hao dùng xét nghiệm, y dụng cụ can thiệp giảm tác hại</t>
  </si>
  <si>
    <t>Công tác phí, xăng xe, tham dự hội nghị, hội thảo, tập huấn, sơ kết, tổng kết do tuyến trên tổ chức; đi lấy mẫu, vận chuyển mẫu phòng tham chiếu quốc gia  HIV tại Viện Pasteur TP. HCM</t>
  </si>
  <si>
    <t>In ấn, phô tô sổ sách, biểu mẫu chuyên môn</t>
  </si>
  <si>
    <t>Mua vật tư phục vụ chương trình</t>
  </si>
  <si>
    <t>Quản lý chương trình, đánh giá chương trình</t>
  </si>
  <si>
    <t>Kinh phí hoạt động điều trị Methadone</t>
  </si>
  <si>
    <t>Hỗ trợ mua thẻ bảo hiểm cho đối tượng người nhiễm HIV có hoàn cảnh khó khăn</t>
  </si>
  <si>
    <t>Điều trị dự phòng trước phơi nhiễm HIV bằng thuốc (PrEP)</t>
  </si>
  <si>
    <t>Công tác phí, xăng xe đi giám sát, đi lấy mẫu DBS cho trẻ</t>
  </si>
  <si>
    <t>Công giám sát tuyến dưới</t>
  </si>
  <si>
    <t>Can thiệp giảm tác về Tháng dự phòng lây truyền HIV từ mẹ sang con</t>
  </si>
  <si>
    <t>Can thiệp giảm tác hại về Tháng hành động quốc gia phòng chống HIV/AIDS</t>
  </si>
  <si>
    <t>Kinh phí dự phòng mai táng và VSPD cho người nhiễm HIV/AIDS chết không nơi nương tựa</t>
  </si>
  <si>
    <t>Truyền  thông giáo dục sức khỏe CT HIV</t>
  </si>
  <si>
    <t>Chi bồi dưỡng cán bộ y tế tuyến Huyện, TP đi giám sát dịch tễ học, giám sát các bệnh, tật ...</t>
  </si>
  <si>
    <t>Công tác phí đi công tác, nhiên liệu, tập huấn, giám sát, sơ kết, tổng kết, hội nghị.... tuyến trên trong và ngoài tỉnh.</t>
  </si>
  <si>
    <t>Kiểm định, bảo trì, hiệu chuẩn máy móc, nội kiểm ngọai kiểm</t>
  </si>
  <si>
    <t>In ấn biểu mẫu báo cáo, văn phòng phẩm phục vụ chương trình</t>
  </si>
  <si>
    <t>In ấn biểu mẫu, thông tin liên lạc phục vụ chương trình</t>
  </si>
  <si>
    <t xml:space="preserve">Giao ban, hội nghị tổng kết hoạt động phòng chống phong </t>
  </si>
  <si>
    <t xml:space="preserve"> Chi bồi dưỡng cán bộ y tế giám sát dịch tễ học,</t>
  </si>
  <si>
    <t>Hỗ trợ những người trực tiếp tham gia khám sàng lọc phát hiện bệnh phong, quản lý sàng lọc bệnh phong.</t>
  </si>
  <si>
    <t>Công tác phí, nhiên liệu kiểm tra giám sát, hỗ trợ chuyên môn tuyến huyện, thành phố và xã, phường</t>
  </si>
  <si>
    <t xml:space="preserve">Hỗ trợ người lấy mẫu bệnh phẩm bệnh Phong  </t>
  </si>
  <si>
    <t xml:space="preserve">Chi thù lao cho người phát hiện BN phong mới  </t>
  </si>
  <si>
    <t>Chi hội nghị, tập huấn chương trình Phong ngoài tỉnh</t>
  </si>
  <si>
    <t xml:space="preserve">Mua hoá chất </t>
  </si>
  <si>
    <t>vật dụng đặc thù chăm sóc tàn tật cho bệnh nhân phong</t>
  </si>
  <si>
    <t xml:space="preserve">Vật tư tiêu hao </t>
  </si>
  <si>
    <t>In ấn biểu mẫu báo cáo, tài liệu, văn phòng phẩm phuc vụ chương trình</t>
  </si>
  <si>
    <t>Tập huấn chuyên môn cho cán bộ y tế tuyến huyện, xã - Phường</t>
  </si>
  <si>
    <t>Công tác phí, kiểm tra giám sát, tập huấn hội nghị cho tuyến dưới…</t>
  </si>
  <si>
    <t>Hỗ trợ CB y tế cơ sở hướng dẫn phục hồi 
BN viem phổi tắc nghèn mãn tính, hen phế quản.</t>
  </si>
  <si>
    <t>Sửa chữa máy móc phục vụ chương trình</t>
  </si>
  <si>
    <t>Hoạt động giáo dục dinh dưỡng.(Phát thanh, Truyền hình, in Băng rôn….)</t>
  </si>
  <si>
    <t>Hỗ trợ chiến dịch cân, đo trẻ đánh giá tỷ lệ SDD dưới 5 tuổi</t>
  </si>
  <si>
    <t>Thực hành DD ( BMMT, BM có con &lt;5 tuổi, người nuôi dưỡng trẻ nhỏ)</t>
  </si>
  <si>
    <t>Tổ chức các buổi nói chuyện, thảo luận tư vấn dinh dưỡng</t>
  </si>
  <si>
    <t>Nhóm hoạt động khác: Quản lý chương trình (photo chứng từ,biểu mẫu báo cáo, chuyển phát nhanh, in ấn…)</t>
  </si>
  <si>
    <t>Mua sắm trang thiết bị phục vụ công tác chuyên môn( tỉnh, huyện, xã)</t>
  </si>
  <si>
    <t>Mua Thuốc ( vitamim A và Đa vi chất)</t>
  </si>
  <si>
    <t>Sản xuất tài liệu truyền thông (tờ rơi, áp phích, băng rôn, pano, đĩa, sổ tay, tranh lật, bản cam kết …)</t>
  </si>
  <si>
    <t>Đào tạo, tập huấn về theo dõi, kiểm tra, giám sát, đánh giá và truyền thông về các nội dung của chương trình tuyến tỉnh: (Số lớp: 01 - thời gian 03 ngày; Số học viên: 30 (05 CB t4g; 13 CB phòng/tổ truyền thông các đơn vị Y tế tuyến tỉnh; 12 CB tổ, truyền thông các đơn vi Y tế tuyến huyện/Tp
(gồm: Biên soạn TL; VPP, nước uống, thuê hội trường, photo TL).</t>
  </si>
  <si>
    <t>Đào tạo, tập huấn, theo dõi, kiểm tra, giám sát, đánh giá và truyền thông các nội dung của chương trình tuyến huyện.</t>
  </si>
  <si>
    <t>Đào tạo, tập huấn, về truyền thông y tế cho cộng tác viên và y tế thôn bản</t>
  </si>
  <si>
    <t>Tham gia  công tác, đào tạo, tập huấn, hội nghị cấp trên mời.</t>
  </si>
  <si>
    <t>Tổ chức hội thi (biên soạn đề, chi Ban giám khảo, Ban tổ chức, Tổng kết, dẫn chương trình, chi tiền trao giải, thuê hội trường, chi khác ….).</t>
  </si>
  <si>
    <t>Mua sắm trang thiết bị phục vụ công tác truyền thông
 (Máy quay, máy ảnh, dàn âm thanh, tivi, máy tính, loa, máy ghi âm…).</t>
  </si>
  <si>
    <t>Công tác phí, xăng xe (đào tạo tập huấn tuyến huyện; hội thi, đi kiểm tra giám sát cùng CDC và SYT, TW).</t>
  </si>
  <si>
    <t>Chi quản lý chương trình (VPP, phí xin giấy phép xuất bản ấn phẩm truyền thông, cước bưu điện ...).</t>
  </si>
  <si>
    <t>Xây dựng wepsite</t>
  </si>
  <si>
    <t xml:space="preserve"> Bản tin sức khỏe</t>
  </si>
  <si>
    <t>Theo dõi, giám sát, đánh giá hoạt động truyền thông y tế</t>
  </si>
  <si>
    <t>Tập huấn đào tạo CBYT, tập huấn pháp luật về hóa chất diệt khuẩn, diệt côn trùng trong y tế và gia dụng cho cán bộ chuyên trách tuyến huyện, xã. Tổ chức tập huấn xét nghiệm viên nâng cao</t>
  </si>
  <si>
    <t>Hội nghị, hội thảo tuyến trên</t>
  </si>
  <si>
    <t>Công tác giám sát hỗ trợ hoạt động tuyến huyện, xã, công giám sát vùng sốt rét biến động, giám sát điểm kính hiển vi</t>
  </si>
  <si>
    <t>Chi khác</t>
  </si>
  <si>
    <t>Chi quản lý dự án ( văn phòng phẩm, trang thiết bị, sửa chữa máy móc,…. )phuc vụ chương trình</t>
  </si>
  <si>
    <t>Tập huấn chẩn đoán và phát hiện sớm các bệnh ung thư thường gặp.</t>
  </si>
  <si>
    <t>Tập huấn chăm sóc giảm nhẹ  và dinh dưỡng hợp lý cho nhân viên y tế</t>
  </si>
  <si>
    <t>Khám sàng lọc phát hiện một số bệnh ung thư thường gặp.</t>
  </si>
  <si>
    <t>Công tác phí (giám sát, hội nghị, tập huấn …)</t>
  </si>
  <si>
    <t>Chi hỗ trợ cộng tác viên lập danh sách, chọn mẫu, gửi giấy mời đối tượng điều tra</t>
  </si>
  <si>
    <t>Chi hỗ trợ người trực tiếp khám sàng lọc</t>
  </si>
  <si>
    <t>đối tượng phục vụ khám sàng lọc</t>
  </si>
  <si>
    <t>Khám sàng lọc ung thư vú cho bệnh nhân tại cộng đồng</t>
  </si>
  <si>
    <t>Truyền thông</t>
  </si>
  <si>
    <t>Chi tổ chức tư vấn, nói chuyện chuyên đề hướng dẫn bệnh nhân, người nhà phòng điều trị chăm sóc và hỗ trợ tâm lý cho người bệnh, hỗ trợ tổ chức các hoạt động câu lạc bộ về nội dung chương trình</t>
  </si>
  <si>
    <t>Mua hoá chất,vật tư - trang thiết bị, in ấn phục vụ khám sàng lọc</t>
  </si>
  <si>
    <t>Chi quản lý dự án ( văn phòng phẩm, trang thiết bị, sửa chữa máy móc, điện thoại…. )phuc vụ chương trình</t>
  </si>
  <si>
    <t>Khám sàng lọc  THA tại cộng đồng</t>
  </si>
  <si>
    <t>8,1</t>
  </si>
  <si>
    <t>8,2</t>
  </si>
  <si>
    <t>8,3</t>
  </si>
  <si>
    <t>8,4</t>
  </si>
  <si>
    <t>8,5</t>
  </si>
  <si>
    <t>Chế độ giám sát, công tác phí</t>
  </si>
  <si>
    <t>Tập huấn cho CTV, YTTB 
  qua khám sàng lọc</t>
  </si>
  <si>
    <t>Truyền Thông trên phương tiện thông tin đại chúng hợp đồng trên đài phát thanh của địa phương</t>
  </si>
  <si>
    <t>Băng rôn tuyên Truyền</t>
  </si>
  <si>
    <t>Bồi dưỡng cho cán bộ làm công tác tiêm chủng</t>
  </si>
  <si>
    <t>Tập huấn, huấn luyện tuyến tỉnh huyện</t>
  </si>
  <si>
    <t>Tập huấn, vận chuyển vacxin, vật tư tiêm chủng, mẫu bệnh phẩm tuyến trên</t>
  </si>
  <si>
    <t>Hỗ trợ mũi tiêm BV tuyến tỉnh</t>
  </si>
  <si>
    <t>Mua vật tư tiêu hao (Bơm kim tiêm+Hộp an toàn)</t>
  </si>
  <si>
    <t>Trung ương cấp hiện vật (Vắc xin )</t>
  </si>
  <si>
    <t>Giám sát, điều tra, lấy mẫu, hỗ trợ người cho mẫu xét nghiệm</t>
  </si>
  <si>
    <t>Giám sát sốt phát ban/ nghi sởi</t>
  </si>
  <si>
    <t>Giám sát hội chứng liệt mềm cấp nghi bại liệt</t>
  </si>
  <si>
    <t>In sổ tiêm chủng cá nhân, sổ quản lý chương trình, biểu mẫu báo cáo, danh sách điều tra tuyến tinh</t>
  </si>
  <si>
    <t>Công tác phí kiểm tra, giám sát cho tuyến BV, huyện/Tp, xã phường,thị trấn</t>
  </si>
  <si>
    <t>Xăng xe phục vụ cho kiểm tra giám sát, vận chuyển bảo quản vắc xin</t>
  </si>
  <si>
    <t>Mua sắm, bảo dưỡng, hiệu chuẩn trang thiết bị , vật tư của chương trình</t>
  </si>
  <si>
    <t>Mua sắm, sửa chữa trang thiết bị máy vi tính phục vụ công tác chuyên môn thuộc TCMR</t>
  </si>
  <si>
    <t>Hoạt động hội đồng đánh giá nguyên nhân phản ứng sau tiêm chủng</t>
  </si>
  <si>
    <t>Quản lý chương trình: Văn phòng phẩm, điện thoại, gửi fax nhanh, trang thiết bị văn phòng, bàn, tủ đựng hồ sơ, máy tính để bàn…</t>
  </si>
  <si>
    <t>Kinh phí tổ chức chiến dịch tiêm bổ sung IPV</t>
  </si>
  <si>
    <t xml:space="preserve">Mua tủ lạnh chuyên dụng </t>
  </si>
  <si>
    <t>Truyền thông trên đài PT-TH, loa tuyến xã, thị trấn, băng đĩa, băng rôn</t>
  </si>
  <si>
    <t>Nói chuyện chuyên đề tại cộng đồng (Điều 4, K18, điềm a, TT26)</t>
  </si>
  <si>
    <t>Phát sinh trong năm</t>
  </si>
  <si>
    <t>Triển khai tiêm chủng các khu căn cứ xã Liêng S'rônh</t>
  </si>
  <si>
    <t>Đào tạo, tập huấn, dự hội nghị, hội thảo chuyên môn do tuyến trên tổ chức</t>
  </si>
  <si>
    <t>Mua hóa chất, môi trường, chủng chuẩn, chất chuẩn phục vụ  hoạt động thử nghiệm về an toàn thực phẩm</t>
  </si>
  <si>
    <t xml:space="preserve">Mua dụng cụ, thay thế thiết bị hư hỏng , bảo trì, sữa chửa máy móc trang thiết bị phục vụ chuyên môn </t>
  </si>
  <si>
    <t>Công tác phí kiểm tra chỉ đạo tuyến về công tác xét nghiệm và an toàn sinh học PXN</t>
  </si>
  <si>
    <t xml:space="preserve">Quản lý CT, trang thiết bị văn phòng, VPP, pho to tài liệu, điện thoại, Internet ... </t>
  </si>
  <si>
    <t>Quản lý chất lượng  ISO 17025:2017</t>
  </si>
  <si>
    <t>Chuẩn hóa, xác nhận giá trị sử dụng của phương pháp theo tiêu chuẩn TCVN, ISO/IEC 17025:2017</t>
  </si>
  <si>
    <t>Chi phí đánh giá nội bộ trong hệ thống; đánh giá công nhận, giám sát cuả chuyên gia &amp; các viện cấp trên.</t>
  </si>
  <si>
    <t>Mua hóa chất, môi trường, chủng chuẩn, chất chuẩn phục vụ nội kiểm, ngoại kiểm, đánh giá tay nghề nhân viên, thực hiện thử nghiệm thành thạo và chuuẩn hóa phương pháp</t>
  </si>
  <si>
    <t>Công tác tập huấn cho cán bộ y tế thôn bản, CTV</t>
  </si>
  <si>
    <t xml:space="preserve"> Chi công tác phí, giám sát, tập huấn, hội nghị…</t>
  </si>
  <si>
    <t>Quản lý chương trình: kiểm tra giám sát, VPP, điện thoại, fax…</t>
  </si>
  <si>
    <t>Thuốc, hoá chất, vật tư tiêu hao…</t>
  </si>
  <si>
    <t xml:space="preserve">Tập huấn công tác chuyên môn, giám sát muối iốt tại kho, nơi sản xuất, cửa hàng bán lẻ , khám bướu cổ học sinh 8 - 10 tuổi 
 </t>
  </si>
  <si>
    <t xml:space="preserve">Hoạt động điều tra khám bướu cổ học sinh 8 - 10 tuổi </t>
  </si>
  <si>
    <t xml:space="preserve">Công tác tập huấn cho cán bộ y tế tuyến xã </t>
  </si>
  <si>
    <t xml:space="preserve">Hoạt động giám sát muối iốt tại kho, nơi sản xuất, cửa hàng bán lẻ </t>
  </si>
  <si>
    <t>Hoạt động giám sát muối iốt tại hộ gia đình</t>
  </si>
  <si>
    <t>Công tác phí, giám sát cho tuyến dưới</t>
  </si>
  <si>
    <t>Tập huấn cho tuyến xã, YTTB</t>
  </si>
  <si>
    <t>Thuốc</t>
  </si>
  <si>
    <t>Tập huấn tuyến huyện</t>
  </si>
  <si>
    <t>Tham gia đào tạo, tập huấn tuyến trên</t>
  </si>
  <si>
    <t>Nhóm CSSK Vị thành niên</t>
  </si>
  <si>
    <t>Giám sát hỗ trợ tuyến dưới</t>
  </si>
  <si>
    <t>Hội nghị, hội thảo, chia sẽ kinh nghiệm tại trung ương và sơ kết, tổng kết chương trình hằng năm</t>
  </si>
  <si>
    <t>Các hoạt động mua sắm trang thiết bị, vật tư và các hoạt động khác</t>
  </si>
  <si>
    <t>Chi phí hoạt động phát sinh</t>
  </si>
  <si>
    <t>Chi quản lý dự án ( văn phòng phẩm, trang thiết bị, sửa chữa máy móc,…. )phục vụ chương trình</t>
  </si>
  <si>
    <t>Khám sàng lọc bệnh nhân tâm thần, động kinh, trầm cảm…</t>
  </si>
  <si>
    <t>Duy tu bảo dưỡng , sửa chữa máy móc thiết bị, máy in,... phục vụ chương trình</t>
  </si>
  <si>
    <t>In ấn sổ sách, biểu mẫu phục vụ chương trình</t>
  </si>
  <si>
    <t>Tập huấn cho cộng tác viên nhân viên y tế thôn bản</t>
  </si>
  <si>
    <t>Công tác phí giám sát, tập huấn tại tuyến huyện và tuyến trên</t>
  </si>
  <si>
    <t>Mua hoá chất, vật tư tiêu hao, trang thiết bị chống dịch</t>
  </si>
  <si>
    <t>Xét nghiệm: Bảo trì, hiệu chuẩn máy, vận chuyển mẫu lên tuyến trên…</t>
  </si>
  <si>
    <t>Chi khác: Quản ly chương trình, bảo dưỡng sửa chữa máy tính, máy in…</t>
  </si>
  <si>
    <t xml:space="preserve"> -Chương trình dịch mới nổi_ Covid</t>
  </si>
  <si>
    <t>Mua hoá chất, vật tư tiêu hao, trang thiết bị chống dịch COVID-19</t>
  </si>
  <si>
    <t>Kinh phí họp Ban chỉ đạo phòng chống dịch bệnh mới nổi Thành phố, phường xã</t>
  </si>
  <si>
    <t xml:space="preserve">Kinh phí thuê nhân công phun hóa chất xử lý môi trường </t>
  </si>
  <si>
    <t xml:space="preserve">Kinh phí xăng xe </t>
  </si>
  <si>
    <t xml:space="preserve">Công giám sát, điều tra dịch tễ phòng chống dịch COVID-19 </t>
  </si>
  <si>
    <t xml:space="preserve">Hỗ trợ cán bộ thường trực 24/24h phòng chống dịch COVID-19 </t>
  </si>
  <si>
    <t>Kinh phí hợp đồng xử lý chất thải, rác thải có nguy cơ chứa SRAR-CoV-2</t>
  </si>
  <si>
    <t>Vật liệu truyền thông</t>
  </si>
  <si>
    <t xml:space="preserve">Hỗ trợ giám sát phun hóa chất </t>
  </si>
  <si>
    <t>Thanh toán công tác phí xăng xe</t>
  </si>
  <si>
    <t>Công tác phí hội nghị tuyến trên</t>
  </si>
  <si>
    <t>Hiệu chuẩn, bảo trì thiết bị xét nghiêm</t>
  </si>
  <si>
    <t>Tổ chức chiến dịch diệt lăng quăng</t>
  </si>
  <si>
    <t>Mua máy bắt muỗi</t>
  </si>
  <si>
    <t>Mua nhiên liệu phục vụ phun hóa chất, truyền thông</t>
  </si>
  <si>
    <t>Mua dụng cụ giám sát côn trùng</t>
  </si>
  <si>
    <t>Mua máy phun</t>
  </si>
  <si>
    <t>Sửa chữa,duy tu, bảo trì,  phục vụ quản lý chương trình.</t>
  </si>
  <si>
    <t>Nhiên liệu vận chuyển thuốc vật tư hóa chất</t>
  </si>
  <si>
    <t>Mua  sinh phẩm dụng cụ giám sát huyêt thanh</t>
  </si>
  <si>
    <t>Ngoại Kiểm xét nghiệm</t>
  </si>
  <si>
    <t>Hoạt động chăm sóc sức khỏe bà mẹ, trẻ sơ sinh</t>
  </si>
  <si>
    <t>Người lập</t>
  </si>
  <si>
    <t>Phụ trách kế toán</t>
  </si>
  <si>
    <t>Giám đốc</t>
  </si>
  <si>
    <t>Đặng Thị Dậu</t>
  </si>
  <si>
    <t>Hỗ trợ công giám sát dịch tễ, côn trùng
 xét nghiệm</t>
  </si>
  <si>
    <t>Hỗ trợ cán bộ XN: lấy mãu vận chuyển
 mẫu</t>
  </si>
  <si>
    <t>Giám sát côn trùng tuyến xã thường
 xuyên, ổ bộ gậy nguồn</t>
  </si>
  <si>
    <t>Giám sát Dịch tễ, xét nghiệm,côn trùng
 xử lý ổ dịch</t>
  </si>
  <si>
    <t>In sổ báo cáo CTV, sổ vãng gia sổ quản
 lý chương trình, biễu mẫu</t>
  </si>
  <si>
    <t>Phun hóa chất diệt muỗi chủ động, xử
 lý ổ dịch nhỏ</t>
  </si>
  <si>
    <t>Thanh tra, kiểm tra liên ngành các đợt cao điểm và mùa lễ hội</t>
  </si>
  <si>
    <t>Thanh tra, kiểm tra chuyên ngành các cơ sở sản xuất, chế biến, kinh doanh thực phẩm theo phân cấp</t>
  </si>
  <si>
    <t>Thanh tra kiểm tra đột xuất khi có sự cố về ATTP</t>
  </si>
  <si>
    <t>Giám sát các sản phẩm thực phẩm trên thị trường (mua mẫu, tiền xét nghiệm)</t>
  </si>
  <si>
    <t>Giám sát các lễ hội, hội nghị, sự kiện</t>
  </si>
  <si>
    <t>Hội nghị sơ kết, tổng kết về ATTP</t>
  </si>
  <si>
    <t>Điều tra ngộ độc thực phẩm (tiền báo cáo, Công xét nghiệm mẫu TP,...)</t>
  </si>
  <si>
    <t>Chi phòng chống ngộ độc thực phẩm và các bệnh truyền qua thực phẩm; Xây dựng hệ thống cảnh báo và phân tích nguy cơ an toàn thực phẩm</t>
  </si>
  <si>
    <t>Xây dựng mô hình điểm về an toàn thực phẩm</t>
  </si>
  <si>
    <t>Đào tạo, tập huấn về công tác đảm bảo ATTP</t>
  </si>
  <si>
    <t xml:space="preserve">Hỗ trợ quản lý chương trình ATTP, thù lao cho cộng tác viên </t>
  </si>
  <si>
    <t xml:space="preserve">Xăng xe, thuê phương tiện đi công tác </t>
  </si>
  <si>
    <t>Mua hoá chất, test nhanh về ATVSTP</t>
  </si>
  <si>
    <t>Kinh phí hỗ trợ cho tuyến huyện thực hiện công tác đảm bảo ATTP</t>
  </si>
  <si>
    <t>Thông tin truyền thông đảm bảo ATTP (Đợt cao điểm: tháng Hành động, Tết, Lễ,…)</t>
  </si>
  <si>
    <t>Dân số và phát triển</t>
  </si>
  <si>
    <t>Duy trì mức sinh thay thế, tỷ số giới tính khi sinh</t>
  </si>
  <si>
    <t>Nâng cao chất lượng dân số</t>
  </si>
  <si>
    <t>Tư vấn và khám sức khoẻ tiền hôn nhân</t>
  </si>
  <si>
    <t>1.11</t>
  </si>
  <si>
    <t>2.</t>
  </si>
  <si>
    <t>2.4</t>
  </si>
  <si>
    <t>2.5</t>
  </si>
  <si>
    <t>2.6</t>
  </si>
  <si>
    <t>2.7</t>
  </si>
  <si>
    <t>2.8</t>
  </si>
  <si>
    <t>2.9</t>
  </si>
  <si>
    <t>2.10</t>
  </si>
  <si>
    <t>ccds</t>
  </si>
  <si>
    <t>Đào tạo tập huấn về công tác sức khỏe toàn dân</t>
  </si>
  <si>
    <t>Tổ chức khám chữa bệnh cho đối tượng chính sách</t>
  </si>
  <si>
    <t>Tổ chức tập huấn các đội cơ động cấp cứu ngoại viện và phòng chống dịch</t>
  </si>
  <si>
    <t>Kiểm tra, giám sát hỗ trợ công tác quản lý sức khỏe toàn dân</t>
  </si>
  <si>
    <t>Kiểm tra, giám sát, phối hợp giám sát dịch tễ các bệnh truyền nhiễm và can thiệp khi cần thiết. Tham gia phòng chống thiên tai thảm họa, phòng chống dịch bệnh</t>
  </si>
  <si>
    <t>1a</t>
  </si>
  <si>
    <t>1b</t>
  </si>
  <si>
    <t>1c</t>
  </si>
  <si>
    <t>1d</t>
  </si>
  <si>
    <t>SO Y TE</t>
  </si>
  <si>
    <t>10a1</t>
  </si>
  <si>
    <t>10a2</t>
  </si>
  <si>
    <r>
      <t xml:space="preserve">Hỗ trợ CTV </t>
    </r>
    <r>
      <rPr>
        <sz val="8"/>
        <color rgb="FFFF0000"/>
        <rFont val="Times New Roman"/>
        <family val="1"/>
      </rPr>
      <t>huyện</t>
    </r>
    <r>
      <rPr>
        <sz val="8"/>
        <color theme="1"/>
        <rFont val="Times New Roman"/>
        <family val="1"/>
      </rPr>
      <t xml:space="preserve"> trọng điểm (55 CTV x 12 tháng x 150.000đ/ tháng)</t>
    </r>
  </si>
  <si>
    <r>
      <t xml:space="preserve">Hỗ trợ cộng tác viên </t>
    </r>
    <r>
      <rPr>
        <sz val="8"/>
        <color rgb="FFFF0000"/>
        <rFont val="Times New Roman"/>
        <family val="1"/>
      </rPr>
      <t>xã</t>
    </r>
    <r>
      <rPr>
        <sz val="8"/>
        <rFont val="Times New Roman"/>
        <family val="1"/>
      </rPr>
      <t xml:space="preserve"> trọng điểm </t>
    </r>
  </si>
  <si>
    <r>
      <t xml:space="preserve">Nhóm hoạt động </t>
    </r>
    <r>
      <rPr>
        <sz val="8"/>
        <color rgb="FFFF0000"/>
        <rFont val="Times New Roman"/>
        <family val="1"/>
      </rPr>
      <t>về chăm sóc sơ sinh</t>
    </r>
  </si>
  <si>
    <r>
      <t xml:space="preserve">In sổ sách phục vụ dự án CSSKSS           , </t>
    </r>
    <r>
      <rPr>
        <sz val="8"/>
        <color rgb="FFFF0000"/>
        <rFont val="Times New Roman"/>
        <family val="1"/>
      </rPr>
      <t>(Theo thông tư 37)</t>
    </r>
  </si>
  <si>
    <r>
      <t>Thẩm định tử vong mẹ (</t>
    </r>
    <r>
      <rPr>
        <sz val="8"/>
        <color rgb="FFFF0000"/>
        <rFont val="Times New Roman"/>
        <family val="1"/>
      </rPr>
      <t>tất cả các tuyến</t>
    </r>
    <r>
      <rPr>
        <sz val="8"/>
        <rFont val="Times New Roman"/>
        <family val="1"/>
      </rPr>
      <t>)</t>
    </r>
  </si>
  <si>
    <t>Tập huấn chuyên môn cho CB y tế huyện, xã.(quản lý điều trị tăng huyết áp, ĐTĐ nguyên lý y học gia đình) (tập huấn tuyến xã)</t>
  </si>
  <si>
    <t>Nguyễn thị Thương</t>
  </si>
  <si>
    <t>Hoàng Văn Lợi</t>
  </si>
  <si>
    <t>Nguyễn Đức Thuận</t>
  </si>
  <si>
    <t>Đà Lạt, ngày           tháng         năm 2021</t>
  </si>
  <si>
    <r>
      <rPr>
        <sz val="8"/>
        <color rgb="FF0000FF"/>
        <rFont val="Times New Roman"/>
        <family val="1"/>
      </rPr>
      <t>Công tác phí giám sát,</t>
    </r>
    <r>
      <rPr>
        <sz val="8"/>
        <rFont val="Times New Roman"/>
        <family val="1"/>
      </rPr>
      <t xml:space="preserve"> tập huấn tại tuyến huyện và tuyến trên</t>
    </r>
  </si>
  <si>
    <r>
      <t xml:space="preserve">Chi khác: </t>
    </r>
    <r>
      <rPr>
        <sz val="8"/>
        <color rgb="FF0000FF"/>
        <rFont val="Times New Roman"/>
        <family val="1"/>
      </rPr>
      <t>Quản ly chương trình</t>
    </r>
    <r>
      <rPr>
        <sz val="8"/>
        <color theme="1"/>
        <rFont val="Times New Roman"/>
        <family val="1"/>
      </rPr>
      <t>, bảo dưỡng sửa chữa máy tính, máy in…</t>
    </r>
  </si>
  <si>
    <t>KSBT, DI LINH</t>
  </si>
  <si>
    <r>
      <t>Mua hoá chất, vật tư tiêu hao,</t>
    </r>
    <r>
      <rPr>
        <sz val="8"/>
        <color rgb="FF0000FF"/>
        <rFont val="Times New Roman"/>
        <family val="1"/>
      </rPr>
      <t xml:space="preserve"> trang thiết bị</t>
    </r>
    <r>
      <rPr>
        <sz val="8"/>
        <color theme="1"/>
        <rFont val="Times New Roman"/>
        <family val="1"/>
      </rPr>
      <t xml:space="preserve"> chống dịch COVID-19</t>
    </r>
  </si>
  <si>
    <t>Dahuoai</t>
  </si>
  <si>
    <r>
      <t xml:space="preserve">Chi khác: </t>
    </r>
    <r>
      <rPr>
        <sz val="8"/>
        <color rgb="FF0000FF"/>
        <rFont val="Times New Roman"/>
        <family val="1"/>
      </rPr>
      <t>Mua sắm trang thiết bị,</t>
    </r>
    <r>
      <rPr>
        <sz val="8"/>
        <rFont val="Times New Roman"/>
        <family val="1"/>
      </rPr>
      <t xml:space="preserve"> mua vật dụng sử dụng, bảo hộ, hóa chất phục vụ công tác chuyên môn…</t>
    </r>
  </si>
  <si>
    <t>KSBT, LamHa</t>
  </si>
  <si>
    <r>
      <rPr>
        <sz val="8"/>
        <color rgb="FF0000FF"/>
        <rFont val="Times New Roman"/>
        <family val="1"/>
      </rPr>
      <t>Tham dự hội nghị, hội thảo,</t>
    </r>
    <r>
      <rPr>
        <sz val="8"/>
        <rFont val="Times New Roman"/>
        <family val="1"/>
      </rPr>
      <t xml:space="preserve"> tập huấn, sơ kết, tổng kết, tham quan học tập tuyến trên và tham gia công tác chỉ đạo tuyến </t>
    </r>
  </si>
  <si>
    <r>
      <rPr>
        <sz val="8"/>
        <color rgb="FF0000FF"/>
        <rFont val="Times New Roman"/>
        <family val="1"/>
      </rPr>
      <t>Công tác phí đi công tác</t>
    </r>
    <r>
      <rPr>
        <sz val="8"/>
        <rFont val="Times New Roman"/>
        <family val="1"/>
      </rPr>
      <t>, nhiên liệu, tập huấn, giám sát, sơ kết, tổng kết, hội nghị.... tuyến trên trong và ngoài tỉnh.</t>
    </r>
  </si>
  <si>
    <r>
      <rPr>
        <sz val="8"/>
        <color rgb="FF0000FF"/>
        <rFont val="Times New Roman"/>
        <family val="1"/>
      </rPr>
      <t>Giao ban, hội nghị tổng kết</t>
    </r>
    <r>
      <rPr>
        <sz val="8"/>
        <rFont val="Times New Roman"/>
        <family val="1"/>
      </rPr>
      <t xml:space="preserve"> hoạt động phòng chống phong </t>
    </r>
  </si>
  <si>
    <t>ĐT, Lôc Ctien</t>
  </si>
  <si>
    <r>
      <rPr>
        <sz val="8"/>
        <color rgb="FF0000FF"/>
        <rFont val="Times New Roman"/>
        <family val="1"/>
      </rPr>
      <t>Công tác phí,</t>
    </r>
    <r>
      <rPr>
        <sz val="8"/>
        <color theme="1"/>
        <rFont val="Times New Roman"/>
        <family val="1"/>
      </rPr>
      <t xml:space="preserve"> nhiên liệu kiểm tra giám sát, hỗ trợ chuyên môn tuyến huyện, thành phố và xã, phường</t>
    </r>
  </si>
  <si>
    <t>Chi quản lý dự án ( văn phòng phẩm, trang thiết bị, sửa chữa máy móc,.. ) phuc vụ chương trình</t>
  </si>
  <si>
    <t>Xem</t>
  </si>
  <si>
    <t>KSKT</t>
  </si>
  <si>
    <r>
      <rPr>
        <sz val="8"/>
        <color rgb="FF0000FF"/>
        <rFont val="Times New Roman"/>
        <family val="1"/>
      </rPr>
      <t>Công tác phí,</t>
    </r>
    <r>
      <rPr>
        <sz val="8"/>
        <color theme="1"/>
        <rFont val="Times New Roman"/>
        <family val="1"/>
      </rPr>
      <t xml:space="preserve"> kiểm tra giám sát, tập huấn hội nghị cho tuyến dưới…</t>
    </r>
  </si>
  <si>
    <t xml:space="preserve">Vắc xin </t>
  </si>
  <si>
    <r>
      <t>Quản lý c</t>
    </r>
    <r>
      <rPr>
        <b/>
        <sz val="8"/>
        <color rgb="FF0000FF"/>
        <rFont val="Times New Roman"/>
        <family val="1"/>
      </rPr>
      <t>h</t>
    </r>
    <r>
      <rPr>
        <sz val="8"/>
        <color rgb="FF0000FF"/>
        <rFont val="Times New Roman"/>
        <family val="1"/>
      </rPr>
      <t>ương trình: kiểm tra giám sát, VPP, điện thoại, fax…</t>
    </r>
  </si>
  <si>
    <t>KSBT, DR, Dte, cti</t>
  </si>
  <si>
    <r>
      <t xml:space="preserve">Chi khác: </t>
    </r>
    <r>
      <rPr>
        <sz val="8"/>
        <color rgb="FF0000FF"/>
        <rFont val="Times New Roman"/>
        <family val="1"/>
      </rPr>
      <t>Mua sắm trang thiết bị</t>
    </r>
    <r>
      <rPr>
        <sz val="8"/>
        <rFont val="Times New Roman"/>
        <family val="1"/>
      </rPr>
      <t>,mua vật dụng sử dụng… phục vụ công tác chuyên môn</t>
    </r>
  </si>
  <si>
    <r>
      <rPr>
        <sz val="8"/>
        <color rgb="FF0000FF"/>
        <rFont val="Times New Roman"/>
        <family val="1"/>
      </rPr>
      <t>Công tác phí,</t>
    </r>
    <r>
      <rPr>
        <sz val="8"/>
        <rFont val="Times New Roman"/>
        <family val="1"/>
      </rPr>
      <t xml:space="preserve"> xăng xe, tham dự hội nghị, hội thảo, tập huấn, sơ kết, tổng kết do tuyến trên tổ chức; đi lấy mẫu, vận chuyển mẫu phòng tham chiếu quốc gia  HIV tại Viện Pasteur TP. HCM</t>
    </r>
  </si>
  <si>
    <r>
      <rPr>
        <sz val="8"/>
        <color rgb="FF0000FF"/>
        <rFont val="Times New Roman"/>
        <family val="1"/>
      </rPr>
      <t>Công tác phí,</t>
    </r>
    <r>
      <rPr>
        <sz val="8"/>
        <rFont val="Times New Roman"/>
        <family val="1"/>
      </rPr>
      <t xml:space="preserve"> xăng xe (đào tạo tập huấn tuyến huyện; hội thi, đi kiểm tra giám sát cùng CDC và SYT, TW).</t>
    </r>
  </si>
  <si>
    <r>
      <rPr>
        <sz val="9"/>
        <color rgb="FF0000FF"/>
        <rFont val="Times New Roman"/>
        <family val="1"/>
      </rPr>
      <t>Công tác phí giám sát,</t>
    </r>
    <r>
      <rPr>
        <sz val="9"/>
        <rFont val="Times New Roman"/>
        <family val="1"/>
      </rPr>
      <t xml:space="preserve"> tập huấn tại tuyến huyện và tuyến trên</t>
    </r>
  </si>
  <si>
    <r>
      <t xml:space="preserve">Chi khác: </t>
    </r>
    <r>
      <rPr>
        <sz val="9"/>
        <color rgb="FF0000FF"/>
        <rFont val="Times New Roman"/>
        <family val="1"/>
      </rPr>
      <t>Mua sắm trang thiết bị,</t>
    </r>
    <r>
      <rPr>
        <sz val="9"/>
        <rFont val="Times New Roman"/>
        <family val="1"/>
      </rPr>
      <t xml:space="preserve"> mua vật dụng sử dụng, bảo hộ, hóa chất phục vụ công tác chuyên môn…</t>
    </r>
  </si>
  <si>
    <r>
      <t xml:space="preserve">Hỗ trợ CTV </t>
    </r>
    <r>
      <rPr>
        <sz val="9"/>
        <color rgb="FFFF0000"/>
        <rFont val="Times New Roman"/>
        <family val="1"/>
      </rPr>
      <t>huyện</t>
    </r>
    <r>
      <rPr>
        <sz val="9"/>
        <color theme="1"/>
        <rFont val="Times New Roman"/>
        <family val="1"/>
      </rPr>
      <t xml:space="preserve"> trọng điểm (55 CTV x 12 tháng x 150.000đ/ tháng)</t>
    </r>
  </si>
  <si>
    <r>
      <t xml:space="preserve">Hỗ trợ cộng tác viên </t>
    </r>
    <r>
      <rPr>
        <sz val="9"/>
        <color rgb="FFFF0000"/>
        <rFont val="Times New Roman"/>
        <family val="1"/>
      </rPr>
      <t>xã</t>
    </r>
    <r>
      <rPr>
        <sz val="9"/>
        <rFont val="Times New Roman"/>
        <family val="1"/>
      </rPr>
      <t xml:space="preserve"> trọng điểm </t>
    </r>
  </si>
  <si>
    <r>
      <t xml:space="preserve">Nhóm hoạt động </t>
    </r>
    <r>
      <rPr>
        <sz val="9"/>
        <color rgb="FFFF0000"/>
        <rFont val="Times New Roman"/>
        <family val="1"/>
      </rPr>
      <t>về chăm sóc sơ sinh</t>
    </r>
  </si>
  <si>
    <r>
      <t xml:space="preserve">In sổ sách phục vụ dự án CSSKSS           , </t>
    </r>
    <r>
      <rPr>
        <sz val="9"/>
        <color rgb="FFFF0000"/>
        <rFont val="Times New Roman"/>
        <family val="1"/>
      </rPr>
      <t>(Theo thông tư 37)</t>
    </r>
  </si>
  <si>
    <r>
      <t>Thẩm định tử vong mẹ (</t>
    </r>
    <r>
      <rPr>
        <sz val="9"/>
        <color rgb="FFFF0000"/>
        <rFont val="Times New Roman"/>
        <family val="1"/>
      </rPr>
      <t>tất cả các tuyến</t>
    </r>
    <r>
      <rPr>
        <sz val="9"/>
        <rFont val="Times New Roman"/>
        <family val="1"/>
      </rPr>
      <t>)</t>
    </r>
  </si>
  <si>
    <r>
      <rPr>
        <sz val="9"/>
        <color rgb="FF0000FF"/>
        <rFont val="Times New Roman"/>
        <family val="1"/>
      </rPr>
      <t>Công tác phí,</t>
    </r>
    <r>
      <rPr>
        <sz val="9"/>
        <rFont val="Times New Roman"/>
        <family val="1"/>
      </rPr>
      <t xml:space="preserve"> xăng xe, tham dự hội nghị, hội thảo, tập huấn, sơ kết, tổng kết do tuyến trên tổ chức; đi lấy mẫu, vận chuyển mẫu phòng tham chiếu quốc gia  HIV tại Viện Pasteur TP. HCM</t>
    </r>
  </si>
  <si>
    <r>
      <rPr>
        <sz val="9"/>
        <color rgb="FF0000FF"/>
        <rFont val="Times New Roman"/>
        <family val="1"/>
      </rPr>
      <t>Công tác phí,</t>
    </r>
    <r>
      <rPr>
        <sz val="9"/>
        <rFont val="Times New Roman"/>
        <family val="1"/>
      </rPr>
      <t xml:space="preserve"> xăng xe (đào tạo tập huấn tuyến huyện; hội thi, đi kiểm tra giám sát cùng CDC và SYT, TW).</t>
    </r>
  </si>
  <si>
    <t>Đơn vị thực hiện</t>
  </si>
  <si>
    <t>Tham dự hội nghị, hội thảo, tập huấn, sơ kết, tổng kết, tham quan học tập tuyến trên và tham gia công tác chỉ đạo tuyến ?</t>
  </si>
  <si>
    <r>
      <t>Chi hỗ trợ cho cán bộ y tế trực tiếp cấp phát thuốc,</t>
    </r>
    <r>
      <rPr>
        <sz val="9"/>
        <color rgb="FF0000FF"/>
        <rFont val="Times New Roman"/>
        <family val="1"/>
      </rPr>
      <t xml:space="preserve"> kiểm tra, giám sát bệnh nhân lao trong thời gian 8 tháng điều trị tại cộng đồng</t>
    </r>
    <r>
      <rPr>
        <sz val="9"/>
        <color rgb="FFC00000"/>
        <rFont val="Times New Roman"/>
        <family val="1"/>
      </rPr>
      <t xml:space="preserve"> (đã có mục 20). </t>
    </r>
  </si>
  <si>
    <r>
      <t xml:space="preserve">Hỗ trợ xét nghiệm nhanh HIV cho bệnh nhân lao: </t>
    </r>
    <r>
      <rPr>
        <sz val="9"/>
        <color rgb="FFC00000"/>
        <rFont val="Times New Roman"/>
        <family val="1"/>
      </rPr>
      <t>7.000đ/</t>
    </r>
    <r>
      <rPr>
        <sz val="9"/>
        <rFont val="Times New Roman"/>
        <family val="1"/>
      </rPr>
      <t xml:space="preserve"> bệnh nhân </t>
    </r>
  </si>
  <si>
    <r>
      <t xml:space="preserve">Soi đàm trực tiếp (2 BN lao kháng mới): </t>
    </r>
    <r>
      <rPr>
        <sz val="9"/>
        <color rgb="FFC00000"/>
        <rFont val="Times New Roman"/>
        <family val="1"/>
      </rPr>
      <t>31.000đ/mẫu</t>
    </r>
  </si>
  <si>
    <t>Công giám sát côn trùng ?</t>
  </si>
  <si>
    <t>Công giám sát vùng SR biến động? Hỏi</t>
  </si>
  <si>
    <t>Chi bồi dưỡng CBYT đi giám sát SR _ bỏ</t>
  </si>
  <si>
    <t>Chi bồi dưỡng CB y tế đi giám sát tuyến huyện, xã_ bỏ</t>
  </si>
  <si>
    <t>Trực phòng chống dịch thứ bảy, chủ nhật ( 104 ngày /năm )?</t>
  </si>
  <si>
    <r>
      <t>Mua hoá chất, vật tư tiêu hao,</t>
    </r>
    <r>
      <rPr>
        <sz val="9"/>
        <color rgb="FF0000FF"/>
        <rFont val="Times New Roman"/>
        <family val="1"/>
      </rPr>
      <t xml:space="preserve"> trang thiết bị chống dịch COVID-19 (tách- bỏ TTB)</t>
    </r>
  </si>
  <si>
    <r>
      <rPr>
        <sz val="9"/>
        <color rgb="FF0000FF"/>
        <rFont val="Times New Roman"/>
        <family val="1"/>
      </rPr>
      <t>Công giám sát (bỏ),</t>
    </r>
    <r>
      <rPr>
        <sz val="9"/>
        <color theme="1"/>
        <rFont val="Times New Roman"/>
        <family val="1"/>
      </rPr>
      <t xml:space="preserve"> tập huấn tại tuyến huyện và tuyến trên</t>
    </r>
  </si>
  <si>
    <r>
      <t>Mua hoá chất, vật tư tiêu hao,</t>
    </r>
    <r>
      <rPr>
        <sz val="9"/>
        <color rgb="FF0000FF"/>
        <rFont val="Times New Roman"/>
        <family val="1"/>
      </rPr>
      <t xml:space="preserve"> trang thiết bị?</t>
    </r>
    <r>
      <rPr>
        <sz val="9"/>
        <color theme="1"/>
        <rFont val="Times New Roman"/>
        <family val="1"/>
      </rPr>
      <t xml:space="preserve"> chống dịch COVID-19</t>
    </r>
  </si>
  <si>
    <t>Kinh phí họp Ban chỉ đạo phòng chống dịch bệnh mới nổi Thành phố, phường xã_ bỏ</t>
  </si>
  <si>
    <r>
      <rPr>
        <sz val="9"/>
        <color rgb="FF0000FF"/>
        <rFont val="Times New Roman"/>
        <family val="1"/>
      </rPr>
      <t xml:space="preserve">Công giám sát </t>
    </r>
    <r>
      <rPr>
        <sz val="9"/>
        <color theme="1"/>
        <rFont val="Times New Roman"/>
        <family val="1"/>
      </rPr>
      <t xml:space="preserve">, </t>
    </r>
    <r>
      <rPr>
        <sz val="9"/>
        <color rgb="FF0000FF"/>
        <rFont val="Times New Roman"/>
        <family val="1"/>
      </rPr>
      <t>điều tra dịch tễ phòng chống dịch COVID-19 ( bỏ - đã có mục 20)</t>
    </r>
  </si>
  <si>
    <t xml:space="preserve">Hỗ trợ giám sát phun hóa chất? </t>
  </si>
  <si>
    <r>
      <t xml:space="preserve">Kiểm tra giám sát tuyến cơ sở về việc thực hiện kế hoạch, hoạt động ứng phó với biến đổi khí hậu tại các cơ sở y tế  trên địa bàn tỉnh </t>
    </r>
    <r>
      <rPr>
        <sz val="9"/>
        <color rgb="FFC00000"/>
        <rFont val="Times New Roman"/>
        <family val="1"/>
      </rPr>
      <t>( bỏ _ đã có Mục 20)</t>
    </r>
  </si>
  <si>
    <t>Chi bồi dưỡng cán bộ y tế tuyến Huyện, TP đi giám sát dịch tễ học, giám sát các bệnh, tật …bỏ</t>
  </si>
  <si>
    <t>Công tác phí đi công tác, nhiên liệu, tập huấn, giám sát, sơ kết, tổng kết, hội nghị.... tuyến trên trong và ngoài tỉnh- bỏ</t>
  </si>
  <si>
    <t>In ấn biểu mẫu, thông tin liên lạc phục vụ chương trình- bỏ</t>
  </si>
  <si>
    <r>
      <t xml:space="preserve">Duy tu bảo dưỡng,sửa chữa máy móc thiệt bị phục vụ </t>
    </r>
    <r>
      <rPr>
        <sz val="9"/>
        <color rgb="FF0000FF"/>
        <rFont val="Times New Roman"/>
        <family val="1"/>
      </rPr>
      <t>chương trình?</t>
    </r>
  </si>
  <si>
    <r>
      <t xml:space="preserve">Chi hỗ trợ cho cán bộ y tế làm công tác khám, phát hiện nguồn lây chính (lao phổi AFB+) tại cộng đồng: </t>
    </r>
    <r>
      <rPr>
        <sz val="9"/>
        <color rgb="FFC00000"/>
        <rFont val="Times New Roman"/>
        <family val="1"/>
      </rPr>
      <t>30.000</t>
    </r>
    <r>
      <rPr>
        <sz val="9"/>
        <rFont val="Times New Roman"/>
        <family val="1"/>
      </rPr>
      <t xml:space="preserve"> đồng/bệnh nhân lao AFB+</t>
    </r>
    <r>
      <rPr>
        <sz val="9"/>
        <color rgb="FFC00000"/>
        <rFont val="Times New Roman"/>
        <family val="1"/>
      </rPr>
      <t>.( mức tthuTheo VB?)</t>
    </r>
  </si>
  <si>
    <t>Chi hỗ trợ CBPT chương trình tuyến xã, huyện?</t>
  </si>
  <si>
    <t>Giao ban, hội nghị tổng kết hoạt động phòng chống phong _bỏ</t>
  </si>
  <si>
    <t xml:space="preserve"> Chi bồi dưỡng cán bộ y tế giám sát dịch tễ học, bỏ</t>
  </si>
  <si>
    <r>
      <t>Công tác phí, nhiên liệu kiểm tra giám sát, hỗ trợ chuyên môn tuyến huyện, thành phố và xã, phường</t>
    </r>
    <r>
      <rPr>
        <sz val="9"/>
        <color rgb="FFC00000"/>
        <rFont val="Times New Roman"/>
        <family val="1"/>
      </rPr>
      <t xml:space="preserve"> (lập ở mục 20)</t>
    </r>
  </si>
  <si>
    <r>
      <t xml:space="preserve">Sửa chữa,duy tu, bảo trì, hiệu chỉnh, nội kiểm, ngoại kiểm trang thiết bị y tế phục vụ </t>
    </r>
    <r>
      <rPr>
        <sz val="9"/>
        <color rgb="FF0000FF"/>
        <rFont val="Times New Roman"/>
        <family val="1"/>
      </rPr>
      <t>chương trình?.</t>
    </r>
  </si>
  <si>
    <r>
      <t>In ấn biểu mẫu báo cáo, văn phòng phẩm phuc vụ</t>
    </r>
    <r>
      <rPr>
        <sz val="9"/>
        <color rgb="FF0000FF"/>
        <rFont val="Times New Roman"/>
        <family val="1"/>
      </rPr>
      <t xml:space="preserve"> chương trình?</t>
    </r>
  </si>
  <si>
    <t>Hỗ trợ công giám sát tẩy giun?</t>
  </si>
  <si>
    <t>Hội nghị, hội thảo tuyến trên-bỏ</t>
  </si>
  <si>
    <t>Công tác giám sát hỗ trợ hoạt động tuyến huyện, xã, công giám sát vùng sốt rét biến động, giám sát điểm kính hiển vi - bỏ</t>
  </si>
  <si>
    <t>Chi khác - bỏ  chi gì?</t>
  </si>
  <si>
    <t>Hỗ trợ công giám sát dịch tễ, côn trùng xét nghiệm- bỏ</t>
  </si>
  <si>
    <t>Giám sát côn trùng?</t>
  </si>
  <si>
    <t xml:space="preserve">Giám sát Dịch tễ, xét nghiệm,côn trùng  xử lý ổ dịch _ Mục 20
</t>
  </si>
  <si>
    <r>
      <t xml:space="preserve">Giám sát côn trùng tuyến xã thường? xuyên, ổ bộ gậy nguồn </t>
    </r>
    <r>
      <rPr>
        <sz val="9"/>
        <color rgb="FFC00000"/>
        <rFont val="Times New Roman"/>
        <family val="1"/>
      </rPr>
      <t>_ Mục 20 hay ở mục c/môn này</t>
    </r>
  </si>
  <si>
    <r>
      <t>Giám sát vec tơ các điểm SXH gia tăng?</t>
    </r>
    <r>
      <rPr>
        <sz val="9"/>
        <color rgb="FFC00000"/>
        <rFont val="Times New Roman"/>
        <family val="1"/>
      </rPr>
      <t xml:space="preserve"> _ Mục 20_ Mục 20 hay ở mục c/môn này</t>
    </r>
  </si>
  <si>
    <t>Chi quản lý dự án ( văn phòng phẩm, trang thiết bị, sửa chữa máy móc,.. ) phuc vụ chương trình_bỏ</t>
  </si>
  <si>
    <t>Truyền thông_ bỏ</t>
  </si>
  <si>
    <r>
      <t xml:space="preserve">Mua hoá chất,vật tư - </t>
    </r>
    <r>
      <rPr>
        <b/>
        <sz val="9"/>
        <color rgb="FF0000FF"/>
        <rFont val="Times New Roman"/>
        <family val="1"/>
      </rPr>
      <t>trang thiết bị</t>
    </r>
    <r>
      <rPr>
        <sz val="9"/>
        <rFont val="Times New Roman"/>
        <family val="1"/>
      </rPr>
      <t>, in ấn phục vụ khám sàng lọc</t>
    </r>
  </si>
  <si>
    <t>Chi quản lý dự án ( văn phòng phẩm, trang thiết bị, sửa chữa máy móc, điện thoại…. )phuc vụ chương trình_ bỏ</t>
  </si>
  <si>
    <t>Tham dự hội nghị tuyến trên- bỏ</t>
  </si>
  <si>
    <r>
      <t>Chế độ giám sát, công tác phí</t>
    </r>
    <r>
      <rPr>
        <sz val="9"/>
        <color rgb="FFC00000"/>
        <rFont val="Times New Roman"/>
        <family val="1"/>
      </rPr>
      <t xml:space="preserve"> ( tách ra- bỏ công giám sát)</t>
    </r>
  </si>
  <si>
    <t>Tập huấn cho CTV, YTTB qua khám sàng lọc</t>
  </si>
  <si>
    <t>Truyền Thông trên phương tiện thông tin đại chúng hợp đồng trên đài phát thanh của địa phương_ bỏ</t>
  </si>
  <si>
    <t>Băng rôn tuyên Truyền - bỏ</t>
  </si>
  <si>
    <t>Tập huấn khám điều tra?</t>
  </si>
  <si>
    <t xml:space="preserve"> Chi công tác phí, giám sát, tập huấn, hội nghị… Mục 20</t>
  </si>
  <si>
    <t>Truyền thông _ bỏ</t>
  </si>
  <si>
    <r>
      <t>Quản lý c</t>
    </r>
    <r>
      <rPr>
        <b/>
        <sz val="9"/>
        <color rgb="FF0000FF"/>
        <rFont val="Times New Roman"/>
        <family val="1"/>
      </rPr>
      <t>h</t>
    </r>
    <r>
      <rPr>
        <sz val="9"/>
        <color rgb="FF0000FF"/>
        <rFont val="Times New Roman"/>
        <family val="1"/>
      </rPr>
      <t>ương trình: kiểm tra giám sát, VPP, điện thoại, fax… bỏ</t>
    </r>
  </si>
  <si>
    <t>Hoạt động giám sát muối iốt tại kho, nơi sản xuất, cửa hàng bán lẻ ?</t>
  </si>
  <si>
    <t>Hoạt động giám sát muối iốt tại hộ gia đình?</t>
  </si>
  <si>
    <r>
      <t xml:space="preserve">In ấn biểu mẫu báo cáo, tài liệu, văn phòng phẩm phuc vụ </t>
    </r>
    <r>
      <rPr>
        <sz val="9"/>
        <color rgb="FF0000FF"/>
        <rFont val="Times New Roman"/>
        <family val="1"/>
      </rPr>
      <t>chương trình?</t>
    </r>
  </si>
  <si>
    <t>Công tác phí, kiểm tra giám sát, tập huấn hội nghị cho tuyến dưới…bỏ</t>
  </si>
  <si>
    <r>
      <t>Sửa chữa máy móc phục vụ</t>
    </r>
    <r>
      <rPr>
        <sz val="9"/>
        <color rgb="FF0000FF"/>
        <rFont val="Times New Roman"/>
        <family val="1"/>
      </rPr>
      <t xml:space="preserve"> chương trình?</t>
    </r>
  </si>
  <si>
    <t xml:space="preserve"> Kiểm tra, chỉ đạo tuyến chương trình - bỏ hay mục 20</t>
  </si>
  <si>
    <t xml:space="preserve"> Kiểm tra yếu tố VSMT 30 trường, giám sát công tác truyền thông GDSK, kiểm tra công tác YTTH - bỏ hay mụa 20</t>
  </si>
  <si>
    <t xml:space="preserve"> Dự hội nghị tập huấn TW, in ấn,VPP, quản lý chương trình _ bỏ</t>
  </si>
  <si>
    <t>Chi phí quản lý, in ấn chuyền thông, hội nghị, tổng kết …..bỏ</t>
  </si>
  <si>
    <t>In vật liệu truyền thông bảng kiểm tra thị lực- bỏ</t>
  </si>
  <si>
    <t>Đánh giá, tổng kết công tác NHĐ YTTH- bỏ</t>
  </si>
  <si>
    <t>Cắt băng rôn tuyên truyền các bệnh học đường (bỏ)</t>
  </si>
  <si>
    <t>Mua sắm, sửa chữa trang thiết bị máy vi tính phục vụ công tác chuyên môn thuộc TCMR-bỏ</t>
  </si>
  <si>
    <t>Công giám sát- bỏ</t>
  </si>
  <si>
    <t>Hoạt động hội đồng đánh giá nguyên nhân phản ứng sau tiêm chủng- bỏ</t>
  </si>
  <si>
    <t>Quản lý chương trình: Văn phòng phẩm, điện thoại, gửi fax nhanh, trang thiết bị văn phòng, bàn, tủ đựng hồ sơ, máy tính để bàn…bỏ</t>
  </si>
  <si>
    <t>Truyền thông trên đài PT-TH, loa tuyến xã, thị trấn, băng đĩa, băng rôn- bò</t>
  </si>
  <si>
    <t>Nói chuyện chuyên đề tại cộng đồng (Điều 4, K18, điềm a, TT26)- bỏ</t>
  </si>
  <si>
    <t>Phát sinh trong năm? - bỏ</t>
  </si>
  <si>
    <t>Các hoạt động hội nghị, hội thảo về mất cân bằng giới tính khi sinh. _ bỏ</t>
  </si>
  <si>
    <t>Tổ chức nói truyện chuyên đề về giới tính khi sinh tại cộng đồng?</t>
  </si>
  <si>
    <t>Kiểm tra, giám sát các cơ sở thực hiện DV siêu âm, Nạo, phá thai, các cơ sở cung cấp tài liệu về mục đích lựa chọn giới tính. _ mục 20</t>
  </si>
  <si>
    <t xml:space="preserve"> Nói chuyện chuyên đề tại cộng đồng;Tư vấn trực tiếp cho đối tượng; Nhân bản tài liệu truyền thông?</t>
  </si>
  <si>
    <t>Trang thiết bị quản lý đối tượng, In biểu mẫu báo cáo?- bỏ</t>
  </si>
  <si>
    <t>Tổ chức các hoạt động truyền thông, Tư vấn trực tiếp tại cộng đồng, Nhân bản tài liệu truyền thông.- Mục 20</t>
  </si>
  <si>
    <t>In biểu mẫu ?</t>
  </si>
  <si>
    <r>
      <t>Hoạt động khác ( hỗ trợ TTB tuyến tỉnh, huyện, xã, biểu mẫu báo cáo…)</t>
    </r>
    <r>
      <rPr>
        <b/>
        <sz val="9"/>
        <color rgb="FF0000FF"/>
        <rFont val="Times New Roman"/>
        <family val="1"/>
      </rPr>
      <t>_ Bỏ</t>
    </r>
  </si>
  <si>
    <t>Hội nghị, hội thảo, chia sẽ kinh nghiệm tại trung ương và sơ kết, tổng kết chương trình hằng năm _ Bỏ</t>
  </si>
  <si>
    <t>Hoạt động giáo dục dinh dưỡng.(Phát thanh, Truyền hình, in Băng rôn….) _ bỏ</t>
  </si>
  <si>
    <t>Chi quản lý chương trình (VPP, phí xin giấy phép xuất bản ấn phẩm truyền thông, cước bưu điện ...).Bỏ</t>
  </si>
  <si>
    <t>Các hoạt động mua sắm trang thiết bị, vật tư và các hoạt động khác? _ bỏ</t>
  </si>
  <si>
    <t>Giám sát hổ trợ - Bỏ</t>
  </si>
  <si>
    <t>Nhóm hoạt động khác: Quản lý chương trình (photo chứng từ,biểu mẫu báo cáo, chuyển phát nhanh, in ấn…)_ bỏ</t>
  </si>
  <si>
    <t>Mua sắm trang thiết bị phục vụ công tác chuyên môn( tỉnh, huyện, xã)- Bỏ</t>
  </si>
  <si>
    <r>
      <t xml:space="preserve">Chi khác: </t>
    </r>
    <r>
      <rPr>
        <sz val="9"/>
        <color rgb="FF0000FF"/>
        <rFont val="Times New Roman"/>
        <family val="1"/>
      </rPr>
      <t>Mua sắm trang thiết bị ( bỏ)</t>
    </r>
    <r>
      <rPr>
        <sz val="9"/>
        <rFont val="Times New Roman"/>
        <family val="1"/>
      </rPr>
      <t>,mua vật dụng sử dụng… phục vụ công tác chuyên môn</t>
    </r>
  </si>
  <si>
    <t>Quản lý CT, trang thiết bị văn phòng, VPP, pho to tài liệu, điện thoại, Internet ... Bỏ</t>
  </si>
  <si>
    <r>
      <rPr>
        <sz val="9"/>
        <rFont val="Times New Roman"/>
        <family val="1"/>
      </rPr>
      <t>Tập huấn,</t>
    </r>
    <r>
      <rPr>
        <sz val="9"/>
        <color rgb="FF0000FF"/>
        <rFont val="Times New Roman"/>
        <family val="1"/>
      </rPr>
      <t xml:space="preserve"> hội nghị, hội thảo về phòng chống HIV/AIDS cho ban ngành, đoàn thể, mạng lưới cán bộ y tế các tuyến, Giao ban Lao/HIV, giao ban nhóm hỗ trợ kỹ thuật về HIV/AIDS- Bỏ</t>
    </r>
  </si>
  <si>
    <t>Quản lý chương trình, đánh giá chương trình _ Bỏ</t>
  </si>
  <si>
    <t>Công giám sát tuyến dưới _ Bỏ</t>
  </si>
  <si>
    <t>Chi quản lý dự án ( văn phòng phẩm, trang thiết bị, sửa chữa máy móc,…. )phục vụ chương trình_ bỏ</t>
  </si>
  <si>
    <t>Truyền  thông giáo dục sức khỏe CT HIV _ bỏ Du toán Mục 20</t>
  </si>
  <si>
    <t>Chi khác: Mua sắm trang thiết bị, in ấn biểu mẫu, mua vật dụng sử dụng phục vụ công tác chuyên môn, quản lý chương trình_ Bỏ</t>
  </si>
  <si>
    <t>Tham dự hội nghị, hội thảo, tập huấn, sơ kết, tổng kết, tham quan học tập tuyến trên và tham gia công tác chỉ đạo tuyến _ bỏ</t>
  </si>
  <si>
    <t>Công tác kiểm tra, giám sát  PCTNTT &amp; XD CĐAT tại xã/phường/thị trấn   bỏhay Muc 20</t>
  </si>
  <si>
    <t>Giám sát dịch tễ tuyến xã _ Muc 20</t>
  </si>
  <si>
    <t>Hỗ trợ tiền thanh toán tự túc phương tiện?
  đi công tác tại 12 xã, thị trấn</t>
  </si>
  <si>
    <r>
      <t>Phát thanh tại 16 xã, Nguyễn Thị Thương</t>
    </r>
    <r>
      <rPr>
        <sz val="9"/>
        <color rgb="FFC00000"/>
        <rFont val="Times New Roman"/>
        <family val="1"/>
      </rPr>
      <t xml:space="preserve"> _ Bỏ</t>
    </r>
  </si>
  <si>
    <r>
      <t>Chi khác: Mua sắm trang thiết bị,</t>
    </r>
    <r>
      <rPr>
        <sz val="9"/>
        <color theme="1"/>
        <rFont val="Times New Roman"/>
        <family val="1"/>
      </rPr>
      <t xml:space="preserve"> in ấn biễu mẫu, mua vật dụng sử dụng phục vụ công tác chuyên mô</t>
    </r>
    <r>
      <rPr>
        <sz val="9"/>
        <color rgb="FF0000FF"/>
        <rFont val="Times New Roman"/>
        <family val="1"/>
      </rPr>
      <t>n,…Bỏ</t>
    </r>
  </si>
  <si>
    <r>
      <t xml:space="preserve">Phát thanh tại 16 xã, TT </t>
    </r>
    <r>
      <rPr>
        <sz val="9"/>
        <color rgb="FFC00000"/>
        <rFont val="Times New Roman"/>
        <family val="1"/>
      </rPr>
      <t>_ bỏ</t>
    </r>
  </si>
  <si>
    <t>Hỗ trợ tiền thanh toán tự túc phương tiện
  đi công tác tại 12 xã, thị trấn- Bỏ</t>
  </si>
  <si>
    <t>Hỗ trợ cán bộ đi kiểm tra đánh giá VSMT và đánh giá 3 công trình vệ sinh</t>
  </si>
  <si>
    <t>Trung tâm Y tế Đà Lạt</t>
  </si>
  <si>
    <t>Trung tâm Y tế Lạc Dương</t>
  </si>
  <si>
    <t>Trung tâm Y tế Đơn Dương</t>
  </si>
  <si>
    <t>Trung tâm Y tế Đức Trọng</t>
  </si>
  <si>
    <t>Trung Tâm Y Tế Lâm Hà</t>
  </si>
  <si>
    <t>Trung tâm Y tế Đam Rông</t>
  </si>
  <si>
    <t>Trung tâm Y tế Di Linh</t>
  </si>
  <si>
    <t>Trung tâm Y tế Bảo Lộc</t>
  </si>
  <si>
    <t>Trung tâm Y tế Bảo Lâm</t>
  </si>
  <si>
    <t>Trung tâm Y tế Đạ Huoai</t>
  </si>
  <si>
    <t>Trung tâm Y tế Đạ Tẻh</t>
  </si>
  <si>
    <t>Trung tâm Y tế Cát Tiên</t>
  </si>
  <si>
    <t>Tên đơn vị</t>
  </si>
  <si>
    <t>Tổng</t>
  </si>
  <si>
    <t>Còn lại chưa phân bổ</t>
  </si>
  <si>
    <t>Đã giao đợt 1( Đối ứng Dự án sáng kiến khu vực ngăn chặn sốt rét kháng thuốc Artermisimin)</t>
  </si>
  <si>
    <t>Công tác viên</t>
  </si>
  <si>
    <t>số người được giao</t>
  </si>
  <si>
    <t>KINH PHÍ HỆ DỰ PHÒNG TUYẾN HUYỆN</t>
  </si>
  <si>
    <t>Đơn vị tính: đồng</t>
  </si>
  <si>
    <t>Kinh phí còn lại phân bổ cho hoạt động y tế dân số</t>
  </si>
  <si>
    <t xml:space="preserve"> DỰ TOÁN CHI PHỤC VỤ CHOHOẠT ĐỘNG CÔNG TÁC DỰ PHÒNG NĂM 2021</t>
  </si>
  <si>
    <t xml:space="preserve"> </t>
  </si>
  <si>
    <t>Đơn vị: triệu đồng</t>
  </si>
  <si>
    <t>Nội dung</t>
  </si>
  <si>
    <t>Tổng cộng ngành</t>
  </si>
  <si>
    <t>Tổng cộng tuyến tỉnh</t>
  </si>
  <si>
    <t>Tuyến tỉnh</t>
  </si>
  <si>
    <t>TỔNG CỘNG tuyến huyện</t>
  </si>
  <si>
    <t xml:space="preserve"> Đơn vị tuyến huyện</t>
  </si>
  <si>
    <t>Cộng huyện</t>
  </si>
  <si>
    <t>Văn phòng sở</t>
  </si>
  <si>
    <t>Chi cục An Toàn vệ sinh thực phẩm</t>
  </si>
  <si>
    <t>Chi cục dân số</t>
  </si>
  <si>
    <t>Trung tâm Y kiểm soát bệnh tật ( tỉnh)</t>
  </si>
  <si>
    <t>Trung tâm Kiểm nghiệm Dược phẩm - Mỹ phẩm</t>
  </si>
  <si>
    <t>Chương trình phục hồi chức năng vào công đồng</t>
  </si>
  <si>
    <t>Trung tâm Pháp y</t>
  </si>
  <si>
    <t>Hội đồng giám định y khoa</t>
  </si>
  <si>
    <t>Ban quản lý người nghèo</t>
  </si>
  <si>
    <t>Trung tâm Y tế Lâm Hà</t>
  </si>
  <si>
    <t>A</t>
  </si>
  <si>
    <t xml:space="preserve">  Kế hoạch kinh phí hoạt động y tế dự phòng năm 2021 trên địa bàn tỉnh Lâm Đồng</t>
  </si>
  <si>
    <t>Kinh phí phòng chống dịch lưu hành tại địa phương và dịch mới nổi và phòng chống thiên tai thảm họa</t>
  </si>
  <si>
    <t xml:space="preserve"> Phòng chống dịch lưu hành tại địa phương</t>
  </si>
  <si>
    <t>Phòng chống dịch Covid</t>
  </si>
  <si>
    <t>Dịch mới nổi khác</t>
  </si>
  <si>
    <t>Phòng chống các bệnh lây nhiễm</t>
  </si>
  <si>
    <t>Tiêm chủng mở rộng</t>
  </si>
  <si>
    <t>Phòng chống các bệnh không lây nhiễm</t>
  </si>
  <si>
    <t>Hoạt động phòng chống bệnh tăng huyết áp</t>
  </si>
  <si>
    <t>Đái tháo đường</t>
  </si>
  <si>
    <t>Hoạt động  phòng chống các rối loạn do thiếu I ốt.</t>
  </si>
  <si>
    <t>Phòng chống HIV/AIDS</t>
  </si>
  <si>
    <t>Bảo vệ sức khỏe tâm thần</t>
  </si>
  <si>
    <t>Chăm sóc sức khỏe bà mẹ, trẻ sơ sinh</t>
  </si>
  <si>
    <t>Chăm sóc sức khỏe học sinh</t>
  </si>
  <si>
    <t>Chăm sóc sức khỏe người khuyết tật</t>
  </si>
  <si>
    <t>Phòng chống tai nạn thương tích</t>
  </si>
  <si>
    <t>Dinh dưỡng</t>
  </si>
  <si>
    <t>Chăm sóc và nâng cao sức khỏe người lao động, phòng chống bệnh nghề nghiệp</t>
  </si>
  <si>
    <t>An toàn thực phẩm</t>
  </si>
  <si>
    <t>Quân dân y</t>
  </si>
  <si>
    <t>Quản lý sức khỏe người dân</t>
  </si>
  <si>
    <t>Kiểm dịch y tế</t>
  </si>
  <si>
    <t>Thực hiện nhiệm vụ chương trình</t>
  </si>
  <si>
    <t>Quản lý Chương trình dân số xã (Cộng tác viên dân số)</t>
  </si>
  <si>
    <t>Thông tin, truyền thông y tế</t>
  </si>
  <si>
    <t>Thông tin, truyền thông y tế lĩnh vực Y tế dự phòng</t>
  </si>
  <si>
    <t>Thông tin, truyền thông y tế lĩnh vực ATVSTP</t>
  </si>
  <si>
    <t>Thông tin, truyền thông y tế lĩnh vực dân số phát triển</t>
  </si>
  <si>
    <t xml:space="preserve">Thông tin, truyền thông y tế lĩnh vực chăm sóc người tàn tật; Quân dân y; An toàn truyền máu và Quản lý sức khỏe người dân </t>
  </si>
  <si>
    <t>Theo dõi, giám sát, đánh giá</t>
  </si>
  <si>
    <t>Theo dõi, giám sát, đánh giá y tế lĩnh vực Y tế dự phòng</t>
  </si>
  <si>
    <t>Theo dõi, giám sát, đánh giá y tế lĩnh vực ATVSTP</t>
  </si>
  <si>
    <t>Theo dõi, giám sát, đánh giá y tế lĩnh vực dân số phát triển</t>
  </si>
  <si>
    <t xml:space="preserve">Theo dõi, giám sát, đánh giá y tế lĩnh vực chăm sóc người tàn tật; Quân dân y; An toàn truyền máu và Quản lý sức khỏe người dân </t>
  </si>
  <si>
    <t>B</t>
  </si>
  <si>
    <t>Phòng chống thiên tai thảm họa (Từ nguồn kinh phí phòng chống thiên tai của Tỉnh)</t>
  </si>
  <si>
    <t>a</t>
  </si>
  <si>
    <t>b</t>
  </si>
  <si>
    <t>c</t>
  </si>
  <si>
    <t>d</t>
  </si>
  <si>
    <t>e</t>
  </si>
  <si>
    <t>Cộng tác viên y tế dân số</t>
  </si>
  <si>
    <t>Tổng kinh phí</t>
  </si>
  <si>
    <t>Dự toán giao năm 2021</t>
  </si>
  <si>
    <t>D</t>
  </si>
  <si>
    <t>C</t>
  </si>
  <si>
    <t>E</t>
  </si>
  <si>
    <t>F</t>
  </si>
  <si>
    <t>Dự toán kinh phí hoạt động y tế dự phòng</t>
  </si>
  <si>
    <t>Số chị Nhi</t>
  </si>
  <si>
    <t>Nguyễn Thị Thương</t>
  </si>
  <si>
    <t>Trung tâm kiểm soát bệnh tật</t>
  </si>
  <si>
    <t>Chi cục An toàn vệ sinh thực phẩm</t>
  </si>
  <si>
    <t>Chi cục Dân số KHHGĐ</t>
  </si>
  <si>
    <t>Sở Y tế</t>
  </si>
  <si>
    <t>Bệnh viện Phục hồi chức năng</t>
  </si>
  <si>
    <t>Tuyến huyện</t>
  </si>
  <si>
    <t>Chương trình Phòng chống dịch lưu hành tại địa phương</t>
  </si>
  <si>
    <t>3d</t>
  </si>
  <si>
    <t>Tổng cộng (Tỉnh+ huyện)</t>
  </si>
  <si>
    <t>Trung tâm Kiểm nghiệm Dược phẩm - Mỹ Phẩm</t>
  </si>
  <si>
    <t>Ban QL người nghèo</t>
  </si>
  <si>
    <t>Đã giao đợt 1</t>
  </si>
  <si>
    <t>G</t>
  </si>
  <si>
    <t xml:space="preserve"> Kinh phí thực hiện Kế hoạch thực hiện các hoạt động y tế dự phòng và dân số phát triển</t>
  </si>
  <si>
    <t>H</t>
  </si>
  <si>
    <t>Tổng kinh phí thực hiện Kế hoạch thực hiện các hoạt động y tế dự phòng và dân số phát triển</t>
  </si>
  <si>
    <t>Tổng kinh phí thực hiện Kế hoạch thực hiện các hoạt động y tế dự phòng và dân số phát triển, bao gồm:</t>
  </si>
  <si>
    <t xml:space="preserve"> - Kinh phí còn lại phân bổ cho hoạt động y tế dân số (sau giao đợt 1) và trừ KP CTV dân số</t>
  </si>
  <si>
    <t xml:space="preserve"> - Kinh phí thực hiện Kế hoạch thực hiện các hoạt động y tế dự phòng và dân số phát triển (chưa phân bổ )</t>
  </si>
  <si>
    <t>DỰ TOÁN KINH PHÍ THỰC HIỆN KẾ HOẠCH THỰC HIỆN CÁC HOẠT ĐỘNG Y TẾ DỰ PHÒNG VÀ DÂN SỐ PHÁT TRIỂN</t>
  </si>
  <si>
    <t>Nguồn kinh phí năm 2021</t>
  </si>
  <si>
    <t>Dự toán kinh phí hoạt động y tế dự phòng năm 2021</t>
  </si>
  <si>
    <t>Kinh phí covid</t>
  </si>
  <si>
    <t>Kinh phí đối ứng CTMT Y tế Dân số, 6 nhiệm vụ</t>
  </si>
  <si>
    <t>Dự toán giao năm 2020 (đã trừ 10% tiết kiệm)</t>
  </si>
  <si>
    <t>Kinh phí CTMT Y tế Dân số NS TW</t>
  </si>
  <si>
    <t>ĐV thực hiện</t>
  </si>
  <si>
    <t>Kinh phí phụ cấp phòng chống dịch24/24 năm 2020 (trả nợ)</t>
  </si>
  <si>
    <t>Dự toán kinh phí hoạt động lĩnh vực Y tế dự phòng - Dan số năm 2021</t>
  </si>
  <si>
    <r>
      <rPr>
        <sz val="9"/>
        <color rgb="FF0000FF"/>
        <rFont val="Times New Roman"/>
        <family val="1"/>
      </rPr>
      <t>Công giám sát ,</t>
    </r>
    <r>
      <rPr>
        <sz val="9"/>
        <color theme="1"/>
        <rFont val="Times New Roman"/>
        <family val="1"/>
      </rPr>
      <t xml:space="preserve"> tập huấn tại tuyến huyện và tuyến trên</t>
    </r>
  </si>
  <si>
    <t xml:space="preserve">Xây dựng và duy trì hoạt động câu lạc bộ tiền hôn nhân </t>
  </si>
  <si>
    <t>Xây dựng wepsite, bản tin sức khỏe</t>
  </si>
  <si>
    <t xml:space="preserve">Phát thanh tại 16 xã, TT </t>
  </si>
  <si>
    <r>
      <rPr>
        <sz val="9"/>
        <color rgb="FF0000FF"/>
        <rFont val="Times New Roman"/>
        <family val="1"/>
      </rPr>
      <t xml:space="preserve">Công giám sát </t>
    </r>
    <r>
      <rPr>
        <sz val="9"/>
        <color theme="1"/>
        <rFont val="Times New Roman"/>
        <family val="1"/>
      </rPr>
      <t xml:space="preserve">, </t>
    </r>
    <r>
      <rPr>
        <sz val="9"/>
        <color rgb="FF0000FF"/>
        <rFont val="Times New Roman"/>
        <family val="1"/>
      </rPr>
      <t xml:space="preserve">điều tra dịch tễ phòng chống dịch COVID-19 </t>
    </r>
  </si>
  <si>
    <r>
      <t xml:space="preserve">Duy tu bảo dưỡng,sửa chữa máy móc thiệt bị phục vụ </t>
    </r>
    <r>
      <rPr>
        <sz val="9"/>
        <color rgb="FF0000FF"/>
        <rFont val="Times New Roman"/>
        <family val="1"/>
      </rPr>
      <t>chương trình</t>
    </r>
  </si>
  <si>
    <r>
      <t>Chế độ giám sát, công tác phí</t>
    </r>
    <r>
      <rPr>
        <sz val="9"/>
        <color rgb="FFC00000"/>
        <rFont val="Times New Roman"/>
        <family val="1"/>
      </rPr>
      <t xml:space="preserve"> </t>
    </r>
  </si>
  <si>
    <t xml:space="preserve">Định mức 150.000 đ/tháng x 12 tháng </t>
  </si>
  <si>
    <t>Thành tiền</t>
  </si>
  <si>
    <t>Xăng xe giám sát và thực hiện nhiệm vụ kiểm dịch y tế</t>
  </si>
  <si>
    <t xml:space="preserve">Mua dụng cụ, trang phục làm việc </t>
  </si>
  <si>
    <t xml:space="preserve"> Nhiệm vụ phòng chống dịch Covid</t>
  </si>
  <si>
    <t>Dịch hạch</t>
  </si>
  <si>
    <r>
      <t xml:space="preserve">In ấn biểu mẫu báo cáo, tài liệu, văn phòng phẩm phuc vụ </t>
    </r>
    <r>
      <rPr>
        <sz val="9"/>
        <color rgb="FF0000FF"/>
        <rFont val="Times New Roman"/>
        <family val="1"/>
      </rPr>
      <t>chương trình</t>
    </r>
  </si>
  <si>
    <r>
      <t>Sửa chữa máy móc phục vụ</t>
    </r>
    <r>
      <rPr>
        <sz val="9"/>
        <color rgb="FF0000FF"/>
        <rFont val="Times New Roman"/>
        <family val="1"/>
      </rPr>
      <t xml:space="preserve"> chương trình</t>
    </r>
  </si>
  <si>
    <t>Phòng chống các rối loạn do thiếu hút Iod</t>
  </si>
  <si>
    <t>Số
TT</t>
  </si>
  <si>
    <t xml:space="preserve">Đơn vị </t>
  </si>
  <si>
    <t>Loại khoản</t>
  </si>
  <si>
    <t>Dự toán thu</t>
  </si>
  <si>
    <t>Ghi chú</t>
  </si>
  <si>
    <t>QUẢN LÝ NHÀ NƯỚC</t>
  </si>
  <si>
    <t>Văn phòng Sở Y tế</t>
  </si>
  <si>
    <t xml:space="preserve"> - Kinh phí hoạt động y tế dự phòng và dân số phát triển</t>
  </si>
  <si>
    <t xml:space="preserve">Chi cục An toàn vệ sinh thực phẩm </t>
  </si>
  <si>
    <t>Kinh phí hoạt động y tế dự phòng và dân số phát triển</t>
  </si>
  <si>
    <t>Chi cục Dân số KHH gia đình</t>
  </si>
  <si>
    <t>SỰ NGHIỆP Y TẾ TUYẾN TỈNH</t>
  </si>
  <si>
    <t>I</t>
  </si>
  <si>
    <t>Hệ điều trị</t>
  </si>
  <si>
    <t xml:space="preserve">Bệnh viện Đa Khoa </t>
  </si>
  <si>
    <t xml:space="preserve"> - Kinh phí mua sắm, sửa chữa</t>
  </si>
  <si>
    <t xml:space="preserve"> - Kinh phí thực hiện chế độ luân phiên có thời hạn đối với người hành nghề tại các cơ sở khám chữa bệnh </t>
  </si>
  <si>
    <t>Bệnh viện II Lâm Đồng</t>
  </si>
  <si>
    <t>Bệnh viện YHCT Phạm Ngọc Thạch</t>
  </si>
  <si>
    <t>Bệnh viện YHCT Bảo Lộc</t>
  </si>
  <si>
    <t>Bệnh viện Nhi</t>
  </si>
  <si>
    <t>II</t>
  </si>
  <si>
    <t>Hệ Dự phòng</t>
  </si>
  <si>
    <t>Kinh phí mua sắm, sữa chữa</t>
  </si>
  <si>
    <t>SỰ NGHIỆP Y TẾ, DÂN SỐ KHHGD TUYẾN HUYỆN</t>
  </si>
  <si>
    <t xml:space="preserve">Hệ dự phòng </t>
  </si>
  <si>
    <t>Dân số, kế hoạch hóa gia đình</t>
  </si>
  <si>
    <t xml:space="preserve">Kinh phí chi thù lao cho cộng tác viên dân số </t>
  </si>
  <si>
    <t>Chưa phân bổ</t>
  </si>
  <si>
    <t xml:space="preserve"> - Kinh phí mua sắm, sữa chữa</t>
  </si>
  <si>
    <t>PHÂN BỔ KINH PHÍ SỬA CHỮA CƠ SỞ VẬT CHẤT VÀ MUA SẮM TRANG THIẾT BỊ Y TẾ PHỤC VỤ CÔNG TÁC KHÁM, CHỮA BỆNH TẠI CÁC CƠ SỞ Y TẾ CÔNG LẬP NĂM 2021 TỪ NGUỒN DỰ TOÁN NGÂN SÁCH GIAO</t>
  </si>
  <si>
    <t>Đơn vị / nội dung</t>
  </si>
  <si>
    <t>Định mức QĐ 38/2020/QĐ-UBND</t>
  </si>
  <si>
    <t>TS hiện có</t>
  </si>
  <si>
    <t>Kinh phí đề nghị phân bổ 2021</t>
  </si>
  <si>
    <t>Bố trí lại 2020</t>
  </si>
  <si>
    <t>Năm 2021</t>
  </si>
  <si>
    <t>Số lượng</t>
  </si>
  <si>
    <t>Đơn giá</t>
  </si>
  <si>
    <t>Mua sắm trang thiết bị</t>
  </si>
  <si>
    <t xml:space="preserve">Sửa chữa </t>
  </si>
  <si>
    <t>Tổng cộng</t>
  </si>
  <si>
    <t>Bệnh viện Đa khoa Lâm Đồng</t>
  </si>
  <si>
    <t>Cải tạo, sửa chữa hệ thống mương thoát nước tổng thể</t>
  </si>
  <si>
    <t>Cải tạo khối nhà kiểm soát nhiễm khuẩn; Hệ thống mương thoát nước nối dài từ khoa kiểm soát nhiễm khuẩn đến khoa sản</t>
  </si>
  <si>
    <t>Đã đổi tên theo đề xuất đơn vị</t>
  </si>
  <si>
    <t>Máy thận nhân tạo (Máy chạy thận)</t>
  </si>
  <si>
    <t xml:space="preserve"> Sơn Epoxy tạo nhám hệ thống cầu nối chống trơn trợt</t>
  </si>
  <si>
    <t>Đã bố trí vốn năm 2020  : 148.940.000 đồng</t>
  </si>
  <si>
    <t>Sửa chữa, cải tạo nhà Khoa Dược</t>
  </si>
  <si>
    <t>Trang bị hệ thống Phòng cháy chữa cháy tại  khối nhà Điều trị 3 tầng và nhà Khám bệnh- Cận lâm sàng.</t>
  </si>
  <si>
    <t>Trung tâm Kiểm soát bệnh tật</t>
  </si>
  <si>
    <t xml:space="preserve">Ko có báo giá thiết bị </t>
  </si>
  <si>
    <t>Xây mới dãy 4 phòng khám Khu điều trị Phong Di Linh</t>
  </si>
  <si>
    <t>Theo QĐ 62/QĐ-UBND  ngày 12/01/2021</t>
  </si>
  <si>
    <t>Máy điều trị bằng sóng xung kích</t>
  </si>
  <si>
    <t>Máy nép ép trị liệu (Máy trị liệu xoa bóp tuần hoán khí)</t>
  </si>
  <si>
    <t>Máy kích thích thần kinh cơ (máy điều trị điện)</t>
  </si>
  <si>
    <t>Máy siêu âm điều trị</t>
  </si>
  <si>
    <t>Đã có 3 cái các loại</t>
  </si>
  <si>
    <t>Trung tâm kiểm nghiệm Dược phẩm - Mỹ Phẩm</t>
  </si>
  <si>
    <t>Sửa chữa cải tạo Trung tâm kiểm nghiệm Dược phẩm - Mỹ Phẩm</t>
  </si>
  <si>
    <t>Đã bố trí năm 2020: 442 tr</t>
  </si>
  <si>
    <t>Tủ tiệt trùng đựng dụng cụ</t>
  </si>
  <si>
    <t>TUYẾN HUYỆN</t>
  </si>
  <si>
    <t>Máy gây mê, kèm thở</t>
  </si>
  <si>
    <t>Máy theo dõi sản khoa (2 chức năng)</t>
  </si>
  <si>
    <t xml:space="preserve">Tủ hấp tiệt trùng dụng cụ bằng UV-OZONE </t>
  </si>
  <si>
    <t>Sửa chữa cải tạo hệ thống cấp thoát nước, chống thấm khoa ngoại- liên chuyên khoa, khoa sản và khoa nội nhiễm</t>
  </si>
  <si>
    <t>Sửa chữa Trạm Y tế xã Mỹ Đức</t>
  </si>
  <si>
    <t>61/QĐ-UBND ngày 12/01/2021</t>
  </si>
  <si>
    <t>Sửa chữa mái tôn Khu nhà điều trị - nhà hành chính, khu vực thanh trùng- chống nhiễm khuẩn và nhà bếp</t>
  </si>
  <si>
    <t>Sửa chữa hàng rào TTYT huyện Đạ Tẻh</t>
  </si>
  <si>
    <t>Xây dựng giếng khoan nước ngầm và lắp đặt hệ thống lọc phèn carophi tại phân Trạm Y tế thôn Đạ Nhar- xã Quốc Oai</t>
  </si>
  <si>
    <t>Sửa chữa Trạm Y tế phường 12</t>
  </si>
  <si>
    <t>Sửa chữa cải tạo TYT phường 3</t>
  </si>
  <si>
    <t>Sửa chữa cải tạo Nhà Hộ sinh khu vực</t>
  </si>
  <si>
    <t>Giường kéo cột sống, cổ chạy điện</t>
  </si>
  <si>
    <t>Ghế nha</t>
  </si>
  <si>
    <t>Đã có</t>
  </si>
  <si>
    <t>Sửa chữa, nâng cấp kho lưu trữ hồ sơ bệnh án, kho lưu trữ hồ sơ kế toán tài chính</t>
  </si>
  <si>
    <t>Giường điện đa năng</t>
  </si>
  <si>
    <t>Cải tạo, sửa chữa Trạm Y tế Đạ Knàng</t>
  </si>
  <si>
    <t>Hệ thống phòng cháy chữa cháy TTYT huyện</t>
  </si>
  <si>
    <t>Xây dựng nguồn điện, cấp điện cho Phòng khám ĐKKV Đạ Tông</t>
  </si>
  <si>
    <t>Sữa chữa máy X Quang TXQ Tingle Xray SHF-330</t>
  </si>
  <si>
    <t>Sữa chữa máy X Quang di động</t>
  </si>
  <si>
    <t>Sửa chữa thang tải bệnh viện tại TTYT</t>
  </si>
  <si>
    <t>Máy điện não (19 kênh não điện EEG và 5 kênh lựa chọn thêm)</t>
  </si>
  <si>
    <t>Kính hiển vi phẫu thuật mắt</t>
  </si>
  <si>
    <t>Bộ dụng cụ mổ mộng</t>
  </si>
  <si>
    <t>Bộ mổ quặm</t>
  </si>
  <si>
    <t>Bộ dụng cụ cắt Amydal + VA</t>
  </si>
  <si>
    <t>Máy đo độ đông máu bán tự động</t>
  </si>
  <si>
    <t>Máy xét nghiệm miễn dịch các loại</t>
  </si>
  <si>
    <t>Sửa chữa, nâng cấp khoa CSSKSS</t>
  </si>
  <si>
    <t>Nâng cấp, lắp đặt hệ thống xử lý nước sinh hoạt trung tâm</t>
  </si>
  <si>
    <t>Máy theo dõi bệnh nhân (8 thông số Omini III)</t>
  </si>
  <si>
    <t>Máy hút dịch (Newcovac 400)</t>
  </si>
  <si>
    <t>Máy điện tim (3 cần ECG 2150)</t>
  </si>
  <si>
    <t>1 máy / 1 TYT</t>
  </si>
  <si>
    <t>Sửa chữa khoa khám bệnh giai đoạn 2</t>
  </si>
  <si>
    <t>Đường bê tông (đường nội bộ TTYT)</t>
  </si>
  <si>
    <t>Giường sưởi ấm sơ sinh</t>
  </si>
  <si>
    <t>Máy hút dịch</t>
  </si>
  <si>
    <t>Máy đo khúc xạ giác mạc</t>
  </si>
  <si>
    <t>Sơn sửa hàng rào bảo vệ Trung tâm, sửa chữa: khu dinh dưỡng, hệ thống mương thoát nước và các hành lang của trung tâm, hệ thống điện các khoa, phòng, hệ thống cấp nước toàn trung tâm.</t>
  </si>
  <si>
    <t>Hệ thống chữa cháy</t>
  </si>
  <si>
    <t>Máy điện xung</t>
  </si>
  <si>
    <t>Sơn, chống thấm, sửa chữa hệ thống điện nước TYT xã Phú Hội</t>
  </si>
  <si>
    <t>Sơn, chống thấm, sửa chữa hệ thống điện nước TYT xã Bình Thạnh</t>
  </si>
  <si>
    <t>Sơn, chống thấm, sửa chữa hệ thống điện nướcTYT xã N'Thôl Hạ</t>
  </si>
  <si>
    <t>Sơn, chống thấm, sửa chữa hệ thống điện nước TYT xã Tân Hội</t>
  </si>
  <si>
    <t>Sơn, chống thấm, sửa chữa hệ thống điện nước TYT xã Liên Hiệp</t>
  </si>
  <si>
    <t>Sơn, chống thấm, sửa chữa hệ thống điện nước TYT xã Hiệp An</t>
  </si>
  <si>
    <t>Sửa chữa, cải tạo Trạm Y tế Tiên Hoàng</t>
  </si>
  <si>
    <t>111/QĐ-UBND ngày 14/01/2021</t>
  </si>
  <si>
    <t>Sửa chữa, cải tạo Trạm Y tế Đức Phổ</t>
  </si>
  <si>
    <t>110/QĐ-UBND ngày 14/01/2021</t>
  </si>
  <si>
    <t>Sửa chữa khu khám, chữa bệnh</t>
  </si>
  <si>
    <t>Nâng cấp sửa chữa hệ thống phòng cháy, chữa cháy</t>
  </si>
  <si>
    <t>Sữa chữa xe ô tô cứu thương</t>
  </si>
  <si>
    <t>Hệ thống rửa tay phẩu thuật viên</t>
  </si>
  <si>
    <t>2</t>
  </si>
  <si>
    <t>02</t>
  </si>
  <si>
    <t>2 cái hư không còn sử dụng được</t>
  </si>
  <si>
    <t>Hệ thống nội soi Tai mũi họng</t>
  </si>
  <si>
    <t>1</t>
  </si>
  <si>
    <t>Đã có 1 máy</t>
  </si>
  <si>
    <t>Sửa chữa khối dược, đội y tế dự phòng, hành chính, Xây dựng nhà để xe</t>
  </si>
  <si>
    <t>150/QĐ-UBND ngày 19/01/2021</t>
  </si>
  <si>
    <t>Hàng rào tường xây</t>
  </si>
  <si>
    <t>Xây khu vệ sinh cho khối siêu âm, X Quang</t>
  </si>
  <si>
    <t>Xây nhà vĩnh biệt</t>
  </si>
  <si>
    <t>Mức độ cần thiết</t>
  </si>
  <si>
    <t>Máy X quang kỹ thuật số (CR12-X)</t>
  </si>
  <si>
    <t>Nâng cấp 1 máy</t>
  </si>
  <si>
    <t>TỔNG CỘNG (Tuyến tỉnh+ tuyến huyện)</t>
  </si>
  <si>
    <t>đồng</t>
  </si>
  <si>
    <t>Phân bổ 2020</t>
  </si>
  <si>
    <t>Còn lại</t>
  </si>
  <si>
    <t xml:space="preserve"> - Quản lý nhà nước ( Kinh phí đảm bảo công tác xử phạt vi phạm hành chính)</t>
  </si>
  <si>
    <t xml:space="preserve"> - Dự phòng Y tế tuyến tỉnh</t>
  </si>
  <si>
    <t xml:space="preserve"> - Dự phòng tuyến huyện</t>
  </si>
  <si>
    <t xml:space="preserve"> - Kinh phí mua sắm, sửa chữa theo định mức 5% tuyến tỉnh</t>
  </si>
  <si>
    <t xml:space="preserve"> - Kinh phí mua sắm, sửa chữa theo định mức 5% tuyến huyện</t>
  </si>
  <si>
    <t xml:space="preserve"> - Kinh phí chi trả cho các đối tượng theo quy định tại Nghị Quyết số 102/NQ-CP của Chính phủ</t>
  </si>
  <si>
    <t xml:space="preserve"> - Kinh phí thực hiện Kế hoạch thực hiện các hoạt động y tế dự phòng và dân số phát triển</t>
  </si>
  <si>
    <t>Phân bổ đợt 2</t>
  </si>
  <si>
    <t xml:space="preserve"> Kinh phí hoạt động y tế dự phòng và dân số phát triển</t>
  </si>
  <si>
    <t xml:space="preserve"> Kinh phí thực hiện chế độ luân phiên có thời hạn đối với người hành nghề tại các cơ sở khám chữa bệnh </t>
  </si>
  <si>
    <t xml:space="preserve"> - Bổ sung kinh phí phụ cấp phòng chống dịch 24/24 năm 2020 </t>
  </si>
  <si>
    <t xml:space="preserve">  Kinh phí chi thù lao cho cộng tác viên dân số </t>
  </si>
  <si>
    <t>Bệnh viện Đa khoa</t>
  </si>
  <si>
    <t>Bệnh viện II</t>
  </si>
  <si>
    <t xml:space="preserve"> - Kinh phí mua vật tư, hóa chất phòng chống dịch Covid</t>
  </si>
  <si>
    <t>Kinh phí còn lại chưa phân bổ</t>
  </si>
  <si>
    <t xml:space="preserve">Dự toán chi không thường xuyên </t>
  </si>
  <si>
    <t>CHI TIẾT DỰ TOÁN THU, CHI NSNN NĂM 2021 (đợt 2)</t>
  </si>
  <si>
    <t>Dự toán kinh phí thực hiện kế hoạch thực hiện các hoạt động y tế dự phòng và dân số phát triển</t>
  </si>
  <si>
    <t>Phân bổ kinh phí sửa chữa cơ sở vật chất và mua sắm trang thiết bị y tế phục vụ công tác khám, chữa bệnh tại các cơ sở y tế công lập năm 2021 từ nguồn dự toán ngân sách giao</t>
  </si>
  <si>
    <t>Dự toán chi tiết kinh phí chi trả thù lao cho công tác viên dân số</t>
  </si>
  <si>
    <t>Đơn vị tinh: 1.000 đồng</t>
  </si>
  <si>
    <t>Dự toán kinh phí hoạt động lĩnh vực Y tế dự phòng - Dân số năm 2021</t>
  </si>
  <si>
    <t>Công tác phí giám sát hỗ trợ tuyến dưới</t>
  </si>
  <si>
    <t>SYT</t>
  </si>
  <si>
    <t>Định mức</t>
  </si>
  <si>
    <t>Lưu trú</t>
  </si>
  <si>
    <t>Tiền xét nghiệm</t>
  </si>
  <si>
    <t>Tiền công và công tác phí</t>
  </si>
  <si>
    <t>Thuê xe</t>
  </si>
  <si>
    <t>Xây dựng, nhân bản, phát hành các sản phẩm truyền thông</t>
  </si>
  <si>
    <t>In sao băng đĩa</t>
  </si>
  <si>
    <t>Phụ cấp công tác phí</t>
  </si>
  <si>
    <t>Xăng xe</t>
  </si>
  <si>
    <t>Mua mẫu và xét nghiệm mẫu</t>
  </si>
  <si>
    <t>Tiền mua mẫu</t>
  </si>
  <si>
    <t>Tiền xét nghiệm mẫu</t>
  </si>
  <si>
    <t>Tiền công tác phí và tiền công lấy mẫu</t>
  </si>
  <si>
    <t>Thông tin, truyền thông Y tế lĩnh vực ATVSTP - Thông tin truyền thông đảm bảo ATTP (Đợt cao điểm: tháng Hành động, Tết, Lễ,…)</t>
  </si>
  <si>
    <t>Mục 
theo SYT</t>
  </si>
  <si>
    <t>Phụ cấp thanh tra</t>
  </si>
  <si>
    <t>Hội nghị sơ kết, tổng kết về ATTP; tham gia hội nghị, hội thảo có liên quan</t>
  </si>
  <si>
    <t>Hội nghị, tập huấn công tác quản lý nhà nước về an toàn thực phẩm cho Ban Chỉ đạo liên ngành về vệ sinh an toàn thực phẩm tuyến huyện, xã</t>
  </si>
  <si>
    <t>Tập huấn về ATTP cho các cơ sở sản xuất, kinh doanh thực phẩm</t>
  </si>
  <si>
    <t>Mua sắm trang thiết bị, chi khác</t>
  </si>
  <si>
    <t xml:space="preserve">Điều tra ngộ độc thực phẩm </t>
  </si>
  <si>
    <t>Giám sát ngộ độc thực phẩm và các bệnh truyền qua thực phẩm</t>
  </si>
  <si>
    <t>-</t>
  </si>
  <si>
    <t>Giám sát các sản phẩm thực phẩm lưu thông trên thị trường (mua mẫu, tiền xét nghiệm)</t>
  </si>
  <si>
    <t>Giám sát các lễ hội, hội nghị, sự kiện trên địa bàn tỉnh</t>
  </si>
  <si>
    <t>Duy trì Tháng Hành động vì ATTP và xây dựng nội dung thông điệp truyền thông</t>
  </si>
  <si>
    <t>Huy động các kênh truyền thông và sản xuất các tài liệu truyền thông</t>
  </si>
  <si>
    <t>Tuyên truyền về ATTP trên sóng Phát thanh, truyền hình</t>
  </si>
  <si>
    <t xml:space="preserve"> Theo dõi, kiểm tra, giám sát, đánh giá  lĩnh vực Y tế (ATTP)</t>
  </si>
  <si>
    <t>Đánh giá KAP của các nhóm đối tượng, xây dựng cơ sở dữ liệu và ứng dụng công nghệ thông tin, tập huấn, đào tạo, điều hành giám sát, kiểm tra báo cáo</t>
  </si>
  <si>
    <t>Biểu số 5. TCKT ( phụ lục 4.01)</t>
  </si>
  <si>
    <t xml:space="preserve">HOẠT ĐỘNG Y TẾ DỰ PHÒNG VÀ DÂN SỐ PHÁT TRIỂN </t>
  </si>
  <si>
    <t>Năm 2020</t>
  </si>
  <si>
    <t>Năm 2022</t>
  </si>
  <si>
    <t>Thực hiện 2020</t>
  </si>
  <si>
    <t>Dự toán giao 2021</t>
  </si>
  <si>
    <t>Thực hiện 6 tháng 2021</t>
  </si>
  <si>
    <t>Ước thực hiện 6 tháng cuối năm 2021</t>
  </si>
  <si>
    <t>Kế hoạch 2022</t>
  </si>
  <si>
    <t>DỰ TOÁN CHI TIẾT KINH PHÍ THỰC HIỆN KẾ HOẠCH THỰC HIỆN CÁC HOẠT ĐỘNG Y TẾ DỰ PHÒNG VÀ DÂN SỐ PHÁT TRIỂN NĂM 2022 (TUYẾN HUYỆN)</t>
  </si>
  <si>
    <t>TP Đà Lạt</t>
  </si>
  <si>
    <t>TP Bảo Lộc</t>
  </si>
  <si>
    <t>huyện Đức Trọng</t>
  </si>
  <si>
    <t>huyện Đơn Dương</t>
  </si>
  <si>
    <t>Huyện Lâm Hà</t>
  </si>
  <si>
    <t>Huyện Bảo Lâm</t>
  </si>
  <si>
    <t>Huyện Di Linh</t>
  </si>
  <si>
    <t>Huyện Lạc Dương</t>
  </si>
  <si>
    <t>Huyện Đam Rông</t>
  </si>
  <si>
    <t>Huyện Đạ Tẻh</t>
  </si>
  <si>
    <t>huyện Đạ Huoai</t>
  </si>
  <si>
    <t>Huyện Cát Tiên</t>
  </si>
  <si>
    <t>Nâng cao năng lực quản lý chất lượng an 
toàn vệ sinh thực phẩm</t>
  </si>
  <si>
    <t>Đào tạo, tập huấn về ATTP cho các nhóm đối tượng</t>
  </si>
  <si>
    <t>Cơ sở thực phẩm</t>
  </si>
  <si>
    <t>Đoàn thể</t>
  </si>
  <si>
    <t>Kiểm tra liên ngành các đợt cao điểm và mùa lễ hội</t>
  </si>
  <si>
    <t>Kiểm tra chuyên ngành các cơ sở sản xuất, chế biến, kinh doanh thực phẩm theo phân cấp</t>
  </si>
  <si>
    <t>Kiểm tra đột xuất khi có sự cố về ATTP</t>
  </si>
  <si>
    <t>Tiền công tác phí</t>
  </si>
  <si>
    <t>Tiền thuê xe</t>
  </si>
  <si>
    <t>Tiền tài liệu</t>
  </si>
  <si>
    <t>Tiền văn phòng phẩm</t>
  </si>
  <si>
    <t>Tiền trà nước</t>
  </si>
  <si>
    <t>Tiền trang trí hội trường</t>
  </si>
  <si>
    <t>Đơn vị tính</t>
  </si>
  <si>
    <t>Công</t>
  </si>
  <si>
    <t>Mẫu</t>
  </si>
  <si>
    <t>Chỉ tiêu</t>
  </si>
  <si>
    <t>Ngày</t>
  </si>
  <si>
    <t>Đợt</t>
  </si>
  <si>
    <t>Vụ</t>
  </si>
  <si>
    <t>Đêm</t>
  </si>
  <si>
    <t>Người</t>
  </si>
  <si>
    <t>Cái</t>
  </si>
  <si>
    <t>người</t>
  </si>
  <si>
    <t>ngày</t>
  </si>
  <si>
    <t>Giám sát các sản phẩm thực phẩm có nguy cơ cao trên thị trường (mua mẫu, tiền xét nghiệm)</t>
  </si>
  <si>
    <t>Giám sát các sản phẩm thực phẩm bao gói sẵn lưu thông trên thị trường (mua mẫu, tiền xét nghiệm)</t>
  </si>
  <si>
    <t>công</t>
  </si>
  <si>
    <t>Tiền trọ</t>
  </si>
  <si>
    <t>Thuê xe, xăng xe</t>
  </si>
  <si>
    <t>đợt</t>
  </si>
  <si>
    <t>Thanh tra, kiểm tra đột xuất khi có sự cố về ATTP</t>
  </si>
  <si>
    <t xml:space="preserve">Thông tin, truyền thông Y tế lĩnh vực ATVSTP </t>
  </si>
  <si>
    <t>27.2</t>
  </si>
  <si>
    <t>28.2</t>
  </si>
  <si>
    <t>Tiền ngủ</t>
  </si>
  <si>
    <t>Công tác phí</t>
  </si>
  <si>
    <t>Lớp</t>
  </si>
  <si>
    <t>800 học viên</t>
  </si>
  <si>
    <t>lớp</t>
  </si>
  <si>
    <t>500 học viên</t>
  </si>
  <si>
    <t>Mô hình</t>
  </si>
  <si>
    <t>Mua dụng cụ, hoá chất, test nhanh về ATVSTP</t>
  </si>
  <si>
    <t>4.1</t>
  </si>
  <si>
    <t>4.2</t>
  </si>
  <si>
    <t>4.3</t>
  </si>
  <si>
    <t xml:space="preserve">Duy trì Tháng Hành động vì ATTP </t>
  </si>
  <si>
    <t>huyện</t>
  </si>
  <si>
    <t>Tổ chức hội nghị triển khai Tháng hành động vì ATTP</t>
  </si>
  <si>
    <t>In ấn băng rôn, khẩu hiệu truyền thông (Tết nguyên đán, Tháng hành động 12 huyện, TP, xã,  phường)</t>
  </si>
  <si>
    <t>Kiểm tra các điều kiện đảm bảo ATTP tại cơ sở theo hồ sơ cấp giấy</t>
  </si>
  <si>
    <t>Đào tạo, tập huấn về ATTP (tài liệu, văn phòng phẩm, trà nước, giảng viên, hội trường, tờ rơi, poster, chi khác,…)</t>
  </si>
  <si>
    <t>Xây dựng mô hình điểm về an toàn thực phẩm (tập huấn, bảng hỏi, công tác phí, tuyên truyền,…)</t>
  </si>
  <si>
    <t>Tiền công và công tác phí và tiền ngủ</t>
  </si>
  <si>
    <t>Xây dựng hệ thống cảnh báo về phân tích mối nguy (tập huấn, dàn dựng điều tra ngộ độc thực phẩm)</t>
  </si>
  <si>
    <t>Chuyển kinh phí cho tuyến huyện (Phòng Y tế tổ chức Hội nghị)</t>
  </si>
  <si>
    <t xml:space="preserve">Bọc lại mới, sửa chữa Pano ATVSTP 12 huyện/TP </t>
  </si>
  <si>
    <r>
      <t xml:space="preserve">Đánh giá KAP về kiến thức, thực hành của các nhóm đối tượng: người lãnh đạo, cơ sở thực phẩm, người tiêu dùng </t>
    </r>
    <r>
      <rPr>
        <sz val="13"/>
        <color theme="1"/>
        <rFont val="Times New Roman"/>
        <family val="1"/>
      </rPr>
      <t>(xây dựng đề cương, thiết kế bảng hỏi, tiên công tác phí, tiền chi trả cho người trả lời, người dẫn đường, xử lý, báo cáo,…)</t>
    </r>
  </si>
  <si>
    <t>Xây dựng cơ sở dữ liệu và ứng dụng công nghệ thông tin (Website)</t>
  </si>
  <si>
    <t xml:space="preserve"> Tiền khoán ngủ ( Một đoàn 4 người, 3đêm)</t>
  </si>
  <si>
    <t>Chi khác (photo tài liệu chuyên môn, in ấn biên bản,…)</t>
  </si>
  <si>
    <t>Tập huấn kiến thức về an toàn thực phẩm cho trường học</t>
  </si>
  <si>
    <t>Tập huấn kiến thức về an toàn thực phẩm cho đoàn thể các huyện/ thành phố</t>
  </si>
  <si>
    <t>1400 học viên</t>
  </si>
  <si>
    <t>1200 học viên</t>
  </si>
  <si>
    <r>
      <rPr>
        <b/>
        <sz val="16"/>
        <color theme="1"/>
        <rFont val="Times New Roman"/>
        <family val="1"/>
      </rPr>
      <t>PHỤ LỤC</t>
    </r>
    <r>
      <rPr>
        <b/>
        <sz val="13"/>
        <color theme="1"/>
        <rFont val="Times New Roman"/>
        <family val="1"/>
      </rPr>
      <t xml:space="preserve">
DỰ TOÁN CHI TIẾT CHO CÁC HOẠT ĐỘNG ĐẢM BẢO AN TOÀN THỰC PHẨM 
TỪ NGUỒN KINH PHÍ ĐỊA PHƯƠNG NĂM 2022</t>
    </r>
  </si>
  <si>
    <t>Chi khác  (Phụ cấp thanh tra, văn phòng phẩm, trang thiết bị, in tài liệu phục vụ công tác thanh tra…)Phụ cấp thanh tra</t>
  </si>
</sst>
</file>

<file path=xl/styles.xml><?xml version="1.0" encoding="utf-8"?>
<styleSheet xmlns="http://schemas.openxmlformats.org/spreadsheetml/2006/main" xmlns:mc="http://schemas.openxmlformats.org/markup-compatibility/2006" xmlns:x14ac="http://schemas.microsoft.com/office/spreadsheetml/2009/9/ac" mc:Ignorable="x14ac">
  <numFmts count="135">
    <numFmt numFmtId="5" formatCode="#,##0\ &quot;₫&quot;;\-#,##0\ &quot;₫&quot;"/>
    <numFmt numFmtId="6" formatCode="#,##0\ &quot;₫&quot;;[Red]\-#,##0\ &quot;₫&quot;"/>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quot;$&quot;#,##0_);[Red]\(&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quot;£&quot;#,##0;\-&quot;£&quot;#,##0"/>
    <numFmt numFmtId="170" formatCode="&quot;£&quot;#,##0;[Red]\-&quot;£&quot;#,##0"/>
    <numFmt numFmtId="171" formatCode="&quot;£&quot;#,##0.00;[Red]\-&quot;£&quot;#,##0.00"/>
    <numFmt numFmtId="172" formatCode="_-&quot;£&quot;* #,##0_-;\-&quot;£&quot;* #,##0_-;_-&quot;£&quot;* &quot;-&quot;_-;_-@_-"/>
    <numFmt numFmtId="173" formatCode="_-* #,##0_-;\-* #,##0_-;_-* &quot;-&quot;_-;_-@_-"/>
    <numFmt numFmtId="174" formatCode="_-&quot;£&quot;* #,##0.00_-;\-&quot;£&quot;* #,##0.00_-;_-&quot;£&quot;* &quot;-&quot;??_-;_-@_-"/>
    <numFmt numFmtId="175" formatCode="_-* #,##0.00_-;\-* #,##0.00_-;_-* &quot;-&quot;??_-;_-@_-"/>
    <numFmt numFmtId="176" formatCode="_(&quot;€&quot;* #,##0_);_(&quot;€&quot;* \(#,##0\);_(&quot;€&quot;* &quot;-&quot;_);_(@_)"/>
    <numFmt numFmtId="177" formatCode="_ * #,##0_ ;_ * \-#,##0_ ;_ * &quot;-&quot;_ ;_ @_ "/>
    <numFmt numFmtId="178" formatCode="_ * #,##0.00_ ;_ * \-#,##0.00_ ;_ * &quot;-&quot;??_ ;_ @_ "/>
    <numFmt numFmtId="179" formatCode="_-&quot;₫&quot;* #,##0_-;\-&quot;₫&quot;* #,##0_-;_-&quot;₫&quot;* &quot;-&quot;_-;_-@_-"/>
    <numFmt numFmtId="180" formatCode="_(* #,##0_);_(* \(#,##0\);_(* &quot;-&quot;??_);_(@_)"/>
    <numFmt numFmtId="181" formatCode="_-&quot;€&quot;* #,##0_-;\-&quot;€&quot;* #,##0_-;_-&quot;€&quot;* &quot;-&quot;_-;_-@_-"/>
    <numFmt numFmtId="182" formatCode="&quot;\&quot;#,##0.00;[Red]&quot;\&quot;&quot;\&quot;&quot;\&quot;&quot;\&quot;&quot;\&quot;&quot;\&quot;\-#,##0.00"/>
    <numFmt numFmtId="183" formatCode="&quot;€&quot;###,0&quot;.&quot;00_);\(&quot;€&quot;###,0&quot;.&quot;00\)"/>
    <numFmt numFmtId="184" formatCode="&quot;\&quot;#,##0;[Red]&quot;\&quot;&quot;\&quot;\-#,##0"/>
    <numFmt numFmtId="185" formatCode="#.##00"/>
    <numFmt numFmtId="186" formatCode="&quot;Rp&quot;#,##0_);[Red]\(&quot;Rp&quot;#,##0\)"/>
    <numFmt numFmtId="187" formatCode="_-* #,##0\ _F_-;\-* #,##0\ _F_-;_-* &quot;-&quot;\ _F_-;_-@_-"/>
    <numFmt numFmtId="188" formatCode="_-* ###,0&quot;.&quot;00_-;\-* ###,0&quot;.&quot;00_-;_-* &quot;-&quot;??_-;_-@_-"/>
    <numFmt numFmtId="189" formatCode="_-* #,##0.00\ _F_-;\-* #,##0.00\ _F_-;_-* &quot;-&quot;??\ _F_-;_-@_-"/>
    <numFmt numFmtId="190" formatCode="_(* ###,0&quot;.&quot;00_);_(* \(###,0&quot;.&quot;00\);_(* &quot;-&quot;??_);_(@_)"/>
    <numFmt numFmtId="191" formatCode="_(&quot;₫&quot;\ * #,##0_);_(&quot;₫&quot;\ * \(#,##0\);_(&quot;₫&quot;\ * &quot;-&quot;_);_(@_)"/>
    <numFmt numFmtId="192" formatCode="_-* #,##0\ &quot;F&quot;_-;\-* #,##0\ &quot;F&quot;_-;_-* &quot;-&quot;\ &quot;F&quot;_-;_-@_-"/>
    <numFmt numFmtId="193" formatCode="_-* #,##0\ _m_k_-;\-* #,##0\ _m_k_-;_-* &quot;-&quot;\ _m_k_-;_-@_-"/>
    <numFmt numFmtId="194" formatCode="_ &quot;\&quot;* #,##0_ ;_ &quot;\&quot;* \-#,##0_ ;_ &quot;\&quot;* &quot;-&quot;_ ;_ @_ "/>
    <numFmt numFmtId="195" formatCode="&quot;\&quot;#,##0.00;[Red]&quot;\&quot;\-#,##0.00"/>
    <numFmt numFmtId="196" formatCode="&quot;\&quot;#,##0;[Red]&quot;\&quot;\-#,##0"/>
    <numFmt numFmtId="197" formatCode="&quot;SFr.&quot;\ #,##0.00;[Red]&quot;SFr.&quot;\ \-#,##0.00"/>
    <numFmt numFmtId="198" formatCode="&quot;SFr.&quot;\ #,##0.00;&quot;SFr.&quot;\ \-#,##0.00"/>
    <numFmt numFmtId="199" formatCode="_ &quot;SFr.&quot;\ * #,##0_ ;_ &quot;SFr.&quot;\ * \-#,##0_ ;_ &quot;SFr.&quot;\ * &quot;-&quot;_ ;_ @_ "/>
    <numFmt numFmtId="200" formatCode=";;"/>
    <numFmt numFmtId="201" formatCode="#,##0.0_);\(#,##0.0\)"/>
    <numFmt numFmtId="202" formatCode="0.0%"/>
    <numFmt numFmtId="203" formatCode="&quot;₫&quot;#,##0.00"/>
    <numFmt numFmtId="204" formatCode="_ * #,##0.00_)&quot;£&quot;_ ;_ * \(#,##0.00\)&quot;£&quot;_ ;_ * &quot;-&quot;??_)&quot;£&quot;_ ;_ @_ "/>
    <numFmt numFmtId="205" formatCode="_-&quot;₫&quot;* #,##0.00_-;\-&quot;₫&quot;* #,##0.00_-;_-&quot;₫&quot;* &quot;-&quot;??_-;_-@_-"/>
    <numFmt numFmtId="206" formatCode="0.0%;\(0.0%\)"/>
    <numFmt numFmtId="207" formatCode="_-* #,##0.00\ &quot;F&quot;_-;\-* #,##0.00\ &quot;F&quot;_-;_-* &quot;-&quot;??\ &quot;F&quot;_-;_-@_-"/>
    <numFmt numFmtId="208" formatCode="0.000_)"/>
    <numFmt numFmtId="209" formatCode="\ * #,##0.00\ ;\-* #,##0.00\ ;\ * \-#\ ;\ @\ "/>
    <numFmt numFmtId="210" formatCode="\ * 0\.00\ ;\-* 0\.00\ ;\ * \-#\ ;\ @\ "/>
    <numFmt numFmtId="211" formatCode="#\ ###\ ###"/>
    <numFmt numFmtId="212" formatCode="_ &quot;R&quot;\ * #,##0_ ;_ &quot;R&quot;\ * \-#,##0_ ;_ &quot;R&quot;\ * &quot;-&quot;_ ;_ @_ "/>
    <numFmt numFmtId="213" formatCode="#,##0.00\ &quot;kr&quot;;\-#,##0.00\ &quot;kr&quot;"/>
    <numFmt numFmtId="214" formatCode="#\ ###\ ##0.0"/>
    <numFmt numFmtId="215" formatCode="0.000"/>
    <numFmt numFmtId="216" formatCode="_(\§\g\ #,##0_);_(\§\g\ \(#,##0\);_(\§\g\ &quot;-&quot;??_);_(@_)"/>
    <numFmt numFmtId="217" formatCode="_(\§\g\ #,##0_);_(\§\g\ \(#,##0\);_(\§\g\ &quot;-&quot;_);_(@_)"/>
    <numFmt numFmtId="218" formatCode="#\ ###\ ###\ .00"/>
    <numFmt numFmtId="219" formatCode="\§\g#,##0_);\(\§\g#,##0\)"/>
    <numFmt numFmtId="220" formatCode="_-&quot;VND&quot;* #,##0_-;\-&quot;VND&quot;* #,##0_-;_-&quot;VND&quot;* &quot;-&quot;_-;_-@_-"/>
    <numFmt numFmtId="221" formatCode="_(&quot;Rp&quot;* #,##0.00_);_(&quot;Rp&quot;* \(#,##0.00\);_(&quot;Rp&quot;* &quot;-&quot;??_);_(@_)"/>
    <numFmt numFmtId="222" formatCode="#,##0.00\ &quot;FB&quot;;[Red]\-#,##0.00\ &quot;FB&quot;"/>
    <numFmt numFmtId="223" formatCode="&quot;₫&quot;#,##0;\-&quot;₫&quot;#,##0"/>
    <numFmt numFmtId="224" formatCode="_-* #,##0\ _F_B_-;\-* #,##0\ _F_B_-;_-* &quot;-&quot;\ _F_B_-;_-@_-"/>
    <numFmt numFmtId="225" formatCode="_ * #,##0.00_)_d_ ;_ * \(#,##0.00\)_d_ ;_ * &quot;-&quot;??_)_d_ ;_ @_ "/>
    <numFmt numFmtId="226" formatCode="#,##0_);\-#,##0_)"/>
    <numFmt numFmtId="227" formatCode="_(* #,##0.000000_);_(* \(#,##0.000000\);_(* &quot;-&quot;??_);_(@_)"/>
    <numFmt numFmtId="228" formatCode="#,##0\ &quot;₫&quot;_);\(#,##0\ &quot;₫&quot;\)"/>
    <numFmt numFmtId="229" formatCode="#,###"/>
    <numFmt numFmtId="230" formatCode="#,##0\ &quot;₫&quot;_);[Red]\(#,##0\ &quot;₫&quot;\)"/>
    <numFmt numFmtId="231" formatCode="&quot;₫&quot;###,0&quot;.&quot;00_);[Red]\(&quot;₫&quot;###,0&quot;.&quot;00\)"/>
    <numFmt numFmtId="232" formatCode="&quot;\&quot;#,##0;[Red]\-&quot;\&quot;#,##0"/>
    <numFmt numFmtId="233" formatCode="&quot;\&quot;#,##0.00;\-&quot;\&quot;#,##0.00"/>
    <numFmt numFmtId="234" formatCode="0.00_)"/>
    <numFmt numFmtId="235" formatCode="#,##0.00_);\-#,##0.00_)"/>
    <numFmt numFmtId="236" formatCode="#,##0.000_);\(#,##0.000\)"/>
    <numFmt numFmtId="237" formatCode="#"/>
    <numFmt numFmtId="238" formatCode="&quot;¡Ì&quot;#,##0;[Red]\-&quot;¡Ì&quot;#,##0"/>
    <numFmt numFmtId="239" formatCode="#,##0.00\ &quot;F&quot;;[Red]\-#,##0.00\ &quot;F&quot;"/>
    <numFmt numFmtId="240" formatCode="_(* #.##0.00_);_(* \(#.##0.00\);_(* &quot;-&quot;??_);_(@_)"/>
    <numFmt numFmtId="241" formatCode="#,##0.00\ \ "/>
    <numFmt numFmtId="242" formatCode="0.00000"/>
    <numFmt numFmtId="243" formatCode="_-* #,##0.0\ _F_-;\-* #,##0.0\ _F_-;_-* &quot;-&quot;??\ _F_-;_-@_-"/>
    <numFmt numFmtId="244" formatCode="0.00000000"/>
    <numFmt numFmtId="245" formatCode="#,##0.00\ \ \ \ "/>
    <numFmt numFmtId="246" formatCode="&quot;\&quot;#,##0;&quot;\&quot;\-#,##0"/>
    <numFmt numFmtId="247" formatCode="&quot;₫&quot;#,##0;[Red]\-&quot;₫&quot;#,##0"/>
    <numFmt numFmtId="248" formatCode="_-* ###,0&quot;.&quot;00\ _F_B_-;\-* ###,0&quot;.&quot;00\ _F_B_-;_-* &quot;-&quot;??\ _F_B_-;_-@_-"/>
    <numFmt numFmtId="249" formatCode="#,##0.00\ &quot;F&quot;;\-#,##0.00\ &quot;F&quot;"/>
    <numFmt numFmtId="250" formatCode="_ * #.##._ ;_ * \-#.##._ ;_ * &quot;-&quot;??_ ;_ @_ⴆ"/>
    <numFmt numFmtId="251" formatCode="#,##0\ &quot;F&quot;;[Red]\-#,##0\ &quot;F&quot;"/>
    <numFmt numFmtId="252" formatCode="_-* #,##0\ _F_-;\-* #,##0\ _F_-;_-* &quot;-&quot;??\ _F_-;_-@_-"/>
    <numFmt numFmtId="253" formatCode="#.00\ ##0"/>
    <numFmt numFmtId="254" formatCode="#.\ ##0"/>
    <numFmt numFmtId="255" formatCode="&quot;\&quot;#,##0;&quot;\&quot;&quot;\&quot;&quot;\&quot;&quot;\&quot;&quot;\&quot;&quot;\&quot;&quot;\&quot;\-#,##0"/>
    <numFmt numFmtId="256" formatCode="#,##0&quot;₫&quot;_);[Red]\(#,##0&quot;₫&quot;\)"/>
    <numFmt numFmtId="257" formatCode="_ * #,##0_ ;_ * \-#,##0_ ;_ * &quot;-&quot;??_ ;_ @_ "/>
    <numFmt numFmtId="258" formatCode="_-* #,##0_-;\-* #,##0_-;_-* &quot;-&quot;_-;_-@"/>
    <numFmt numFmtId="259" formatCode="#,##0.0"/>
    <numFmt numFmtId="260" formatCode="#,##0_ ;\-#,##0\ "/>
    <numFmt numFmtId="261" formatCode="_-* #,##0.0_-;\-* #,##0.0_-;_-* &quot;-&quot;_-;_-@_-"/>
    <numFmt numFmtId="262" formatCode="#,##0.000"/>
    <numFmt numFmtId="263" formatCode="_-* #,##0_-;\-* #,##0_-;_-* &quot;-&quot;??_-;_-@_-"/>
    <numFmt numFmtId="264" formatCode="_-* #,##0\ &quot;€&quot;_-;\-* #,##0\ &quot;€&quot;_-;_-* &quot;-&quot;\ &quot;€&quot;_-;_-@_-"/>
    <numFmt numFmtId="265" formatCode="_-* #,##0&quot;$&quot;_-;_-* #,##0&quot;$&quot;\-;_-* &quot;-&quot;&quot;$&quot;_-;_-@_-"/>
    <numFmt numFmtId="266" formatCode="_-* #,##0\ &quot;$&quot;_-;\-* #,##0\ &quot;$&quot;_-;_-* &quot;-&quot;\ &quot;$&quot;_-;_-@_-"/>
    <numFmt numFmtId="267" formatCode="_-&quot;$&quot;* #,##0_-;\-&quot;$&quot;* #,##0_-;_-&quot;$&quot;* &quot;-&quot;_-;_-@_-"/>
    <numFmt numFmtId="268" formatCode="_-&quot;ñ&quot;* #,##0_-;\-&quot;ñ&quot;* #,##0_-;_-&quot;ñ&quot;* &quot;-&quot;_-;_-@_-"/>
    <numFmt numFmtId="269" formatCode="_-* #,##0.00\ _V_N_D_-;\-* #,##0.00\ _V_N_D_-;_-* &quot;-&quot;??\ _V_N_D_-;_-@_-"/>
    <numFmt numFmtId="270" formatCode="_-* #,##0.00\ _V_N_Ñ_-;_-* #,##0.00\ _V_N_Ñ\-;_-* &quot;-&quot;??\ _V_N_Ñ_-;_-@_-"/>
    <numFmt numFmtId="271" formatCode="_-* #,##0.00\ _€_-;\-* #,##0.00\ _€_-;_-* &quot;-&quot;??\ _€_-;_-@_-"/>
    <numFmt numFmtId="272" formatCode="_-* #,##0.00_$_-;_-* #,##0.00_$\-;_-* &quot;-&quot;??_$_-;_-@_-"/>
    <numFmt numFmtId="273" formatCode="_-* #,##0.00\ _ñ_-;\-* #,##0.00\ _ñ_-;_-* &quot;-&quot;??\ _ñ_-;_-@_-"/>
    <numFmt numFmtId="274" formatCode="_(&quot;$&quot;\ * #,##0_);_(&quot;$&quot;\ * \(#,##0\);_(&quot;$&quot;\ * &quot;-&quot;_);_(@_)"/>
    <numFmt numFmtId="275" formatCode="_-* #,##0\ &quot;ñ&quot;_-;\-* #,##0\ &quot;ñ&quot;_-;_-* &quot;-&quot;\ &quot;ñ&quot;_-;_-@_-"/>
    <numFmt numFmtId="276" formatCode="_-* #,##0\ _V_N_D_-;\-* #,##0\ _V_N_D_-;_-* &quot;-&quot;\ _V_N_D_-;_-@_-"/>
    <numFmt numFmtId="277" formatCode="_-* #,##0\ _V_N_Ñ_-;_-* #,##0\ _V_N_Ñ\-;_-* &quot;-&quot;\ _V_N_Ñ_-;_-@_-"/>
    <numFmt numFmtId="278" formatCode="_-* #,##0\ _€_-;\-* #,##0\ _€_-;_-* &quot;-&quot;\ _€_-;_-@_-"/>
    <numFmt numFmtId="279" formatCode="_-* #,##0_$_-;_-* #,##0_$\-;_-* &quot;-&quot;_$_-;_-@_-"/>
    <numFmt numFmtId="280" formatCode="_-* #,##0\ _$_-;\-* #,##0\ _$_-;_-* &quot;-&quot;\ _$_-;_-@_-"/>
    <numFmt numFmtId="281" formatCode="_-* #,##0\ _ñ_-;\-* #,##0\ _ñ_-;_-* &quot;-&quot;\ _ñ_-;_-@_-"/>
    <numFmt numFmtId="282" formatCode="0.000%"/>
    <numFmt numFmtId="283" formatCode="#,##0\ &quot;DM&quot;;\-#,##0\ &quot;DM&quot;"/>
    <numFmt numFmtId="284" formatCode="\$#,##0\ ;\(\$#,##0\)"/>
    <numFmt numFmtId="285" formatCode="#."/>
    <numFmt numFmtId="286" formatCode="#.00"/>
    <numFmt numFmtId="287" formatCode="#,###;\-#,###;&quot;&quot;;_(@_)"/>
    <numFmt numFmtId="288" formatCode="&quot;$&quot;#.00"/>
    <numFmt numFmtId="289" formatCode="%#.00"/>
    <numFmt numFmtId="290" formatCode="_-* #,##0.00000000_-;\-* #,##0.00000000_-;_-* &quot;-&quot;??_-;_-@_-"/>
    <numFmt numFmtId="291" formatCode="_(* #,##0.0000_);_(* \(#,##0.0000\);_(* &quot;-&quot;??_);_(@_)"/>
    <numFmt numFmtId="292" formatCode="&quot;On&quot;;&quot;On&quot;;&quot;Off&quot;"/>
  </numFmts>
  <fonts count="288">
    <font>
      <sz val="11"/>
      <color theme="1"/>
      <name val="Calibri"/>
      <family val="2"/>
      <scheme val="minor"/>
    </font>
    <font>
      <sz val="11"/>
      <color theme="1"/>
      <name val="Calibri"/>
      <family val="2"/>
      <scheme val="minor"/>
    </font>
    <font>
      <sz val="10"/>
      <name val="Arial"/>
      <family val="2"/>
    </font>
    <font>
      <sz val="11"/>
      <color indexed="8"/>
      <name val="Calibri"/>
      <family val="2"/>
    </font>
    <font>
      <b/>
      <sz val="11"/>
      <name val="Times New Roman"/>
      <family val="1"/>
    </font>
    <font>
      <sz val="11"/>
      <name val="UVnTime"/>
      <family val="2"/>
    </font>
    <font>
      <sz val="12"/>
      <color theme="1"/>
      <name val="Times New Roman"/>
      <family val="2"/>
    </font>
    <font>
      <sz val="12"/>
      <name val=".VnTime"/>
      <family val="2"/>
    </font>
    <font>
      <sz val="10"/>
      <name val="Arial"/>
      <family val="2"/>
      <charset val="163"/>
    </font>
    <font>
      <sz val="12"/>
      <name val="VNI-Times"/>
    </font>
    <font>
      <sz val="12"/>
      <name val="돋움체"/>
      <family val="3"/>
      <charset val="129"/>
    </font>
    <font>
      <sz val="12"/>
      <name val="VNtimes new roman"/>
      <family val="2"/>
    </font>
    <font>
      <sz val="10"/>
      <name val=".VnTime"/>
      <family val="2"/>
    </font>
    <font>
      <sz val="10"/>
      <name val="Helv"/>
      <family val="2"/>
    </font>
    <font>
      <sz val="10"/>
      <name val="Times New Roman"/>
      <family val="1"/>
    </font>
    <font>
      <sz val="12"/>
      <name val=".VnArial"/>
      <family val="2"/>
    </font>
    <font>
      <sz val="10"/>
      <name val="??"/>
      <family val="3"/>
      <charset val="129"/>
    </font>
    <font>
      <sz val="12"/>
      <name val="????"/>
      <family val="1"/>
      <charset val="136"/>
    </font>
    <font>
      <sz val="12"/>
      <name val="Courier"/>
      <family val="3"/>
    </font>
    <font>
      <sz val="10"/>
      <name val="AngsanaUPC"/>
      <family val="1"/>
    </font>
    <font>
      <sz val="12"/>
      <name val="|??¢¥¢¬¨Ï"/>
      <family val="1"/>
      <charset val="129"/>
    </font>
    <font>
      <sz val="10"/>
      <name val="VNI-Times"/>
    </font>
    <font>
      <sz val="10"/>
      <color indexed="8"/>
      <name val="Arial"/>
      <family val="2"/>
    </font>
    <font>
      <sz val="10"/>
      <name val="MS Sans Serif"/>
      <family val="2"/>
    </font>
    <font>
      <sz val="12"/>
      <name val="???"/>
    </font>
    <font>
      <sz val="11"/>
      <name val="‚l‚r ‚oƒSƒVƒbƒN"/>
      <family val="3"/>
      <charset val="128"/>
    </font>
    <font>
      <sz val="11"/>
      <name val="–¾’©"/>
      <family val="1"/>
      <charset val="128"/>
    </font>
    <font>
      <sz val="14"/>
      <name val="Terminal"/>
      <family val="3"/>
      <charset val="128"/>
    </font>
    <font>
      <sz val="14"/>
      <name val="VnTime"/>
    </font>
    <font>
      <sz val="11"/>
      <name val=".VnTime"/>
      <family val="2"/>
    </font>
    <font>
      <b/>
      <u/>
      <sz val="14"/>
      <color indexed="8"/>
      <name val=".VnBook-AntiquaH"/>
      <family val="2"/>
    </font>
    <font>
      <b/>
      <sz val="10"/>
      <name val=".VnTimeH"/>
      <family val="2"/>
    </font>
    <font>
      <b/>
      <u/>
      <sz val="10"/>
      <name val="VNI-Times"/>
    </font>
    <font>
      <b/>
      <sz val="10"/>
      <name val=".VnArial"/>
      <family val="2"/>
    </font>
    <font>
      <sz val="12"/>
      <color indexed="10"/>
      <name val=".VnArial Narrow"/>
      <family val="2"/>
    </font>
    <font>
      <sz val="12"/>
      <color indexed="8"/>
      <name val="¹ÙÅÁÃ¼"/>
      <family val="1"/>
      <charset val="129"/>
    </font>
    <font>
      <i/>
      <sz val="12"/>
      <color indexed="8"/>
      <name val=".VnBook-AntiquaH"/>
      <family val="2"/>
    </font>
    <font>
      <b/>
      <sz val="12"/>
      <color indexed="8"/>
      <name val=".VnBook-Antiqua"/>
      <family val="2"/>
    </font>
    <font>
      <i/>
      <sz val="12"/>
      <color indexed="8"/>
      <name val=".VnBook-Antiqua"/>
      <family val="2"/>
    </font>
    <font>
      <sz val="11"/>
      <color indexed="9"/>
      <name val="Calibri"/>
      <family val="2"/>
    </font>
    <font>
      <sz val="14"/>
      <name val=".VnTime"/>
      <family val="2"/>
    </font>
    <font>
      <sz val="12"/>
      <name val="¹UAAA¼"/>
      <family val="3"/>
      <charset val="129"/>
    </font>
    <font>
      <sz val="8"/>
      <name val="Times New Roman"/>
      <family val="1"/>
    </font>
    <font>
      <b/>
      <sz val="12"/>
      <color indexed="63"/>
      <name val="VNI-Times"/>
    </font>
    <font>
      <sz val="12"/>
      <name val="¹ÙÅÁÃ¼"/>
      <charset val="129"/>
    </font>
    <font>
      <sz val="12"/>
      <name val="Tms Rmn"/>
    </font>
    <font>
      <sz val="13"/>
      <name val=".VnTime"/>
      <family val="2"/>
    </font>
    <font>
      <sz val="11"/>
      <name val="µ¸¿ò"/>
      <charset val="129"/>
    </font>
    <font>
      <sz val="10"/>
      <name val="±¼¸²A¼"/>
      <family val="3"/>
      <charset val="129"/>
    </font>
    <font>
      <sz val="12"/>
      <name val="¹ÙÅÁÃ¼"/>
      <family val="1"/>
      <charset val="129"/>
    </font>
    <font>
      <sz val="10"/>
      <name val="Helv"/>
    </font>
    <font>
      <b/>
      <sz val="10"/>
      <name val="Helv"/>
    </font>
    <font>
      <sz val="10"/>
      <name val=".VnArial"/>
      <family val="2"/>
    </font>
    <font>
      <sz val="11"/>
      <name val="VNbook-Antiqua"/>
      <family val="2"/>
    </font>
    <font>
      <sz val="10"/>
      <name val="VNI-Aptima"/>
    </font>
    <font>
      <sz val="11"/>
      <name val="Tms Rmn"/>
    </font>
    <font>
      <sz val="12"/>
      <name val="Times New Roman"/>
      <family val="1"/>
    </font>
    <font>
      <sz val="12"/>
      <name val="VNI-Aptima"/>
    </font>
    <font>
      <sz val="10"/>
      <name val="BERNHARD"/>
    </font>
    <font>
      <b/>
      <sz val="12"/>
      <name val="VNTime"/>
      <family val="2"/>
    </font>
    <font>
      <sz val="10"/>
      <name val="MS Serif"/>
      <family val="1"/>
    </font>
    <font>
      <sz val="12"/>
      <name val="Arial"/>
      <family val="2"/>
    </font>
    <font>
      <b/>
      <sz val="11"/>
      <color indexed="63"/>
      <name val="Calibri"/>
      <family val="2"/>
    </font>
    <font>
      <sz val="11"/>
      <color indexed="62"/>
      <name val="Calibri"/>
      <family val="2"/>
    </font>
    <font>
      <b/>
      <sz val="12"/>
      <name val="VNTimeH"/>
      <family val="2"/>
    </font>
    <font>
      <b/>
      <sz val="15"/>
      <color indexed="56"/>
      <name val="Calibri"/>
      <family val="2"/>
    </font>
    <font>
      <b/>
      <sz val="13"/>
      <color indexed="56"/>
      <name val="Calibri"/>
      <family val="2"/>
    </font>
    <font>
      <b/>
      <sz val="11"/>
      <color indexed="56"/>
      <name val="Calibri"/>
      <family val="2"/>
    </font>
    <font>
      <sz val="1"/>
      <color indexed="8"/>
      <name val="Courier"/>
      <family val="3"/>
    </font>
    <font>
      <sz val="10"/>
      <name val="Arial CE"/>
      <charset val="238"/>
    </font>
    <font>
      <b/>
      <sz val="1"/>
      <color indexed="8"/>
      <name val="Courier"/>
      <family val="3"/>
    </font>
    <font>
      <sz val="10"/>
      <color indexed="16"/>
      <name val="MS Serif"/>
      <family val="1"/>
    </font>
    <font>
      <sz val="10"/>
      <name val="VNI-Helve-Condense"/>
    </font>
    <font>
      <b/>
      <sz val="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4"/>
      <color indexed="14"/>
      <name val="VNottawa"/>
      <family val="2"/>
    </font>
    <font>
      <b/>
      <sz val="16"/>
      <name val="VNottawa"/>
      <family val="2"/>
    </font>
    <font>
      <sz val="8"/>
      <color indexed="8"/>
      <name val="Helvetica"/>
    </font>
    <font>
      <sz val="12"/>
      <name val="VNTime"/>
      <family val="2"/>
    </font>
    <font>
      <sz val="8"/>
      <name val="Arial"/>
      <family val="2"/>
    </font>
    <font>
      <sz val="10"/>
      <name val=".VnArialH"/>
      <family val="2"/>
    </font>
    <font>
      <b/>
      <sz val="12"/>
      <name val=".VnBook-AntiquaH"/>
      <family val="2"/>
    </font>
    <font>
      <b/>
      <sz val="12"/>
      <color indexed="9"/>
      <name val="Tms Rmn"/>
    </font>
    <font>
      <b/>
      <sz val="12"/>
      <name val="Helv"/>
    </font>
    <font>
      <b/>
      <sz val="12"/>
      <name val="Arial"/>
      <family val="2"/>
    </font>
    <font>
      <b/>
      <sz val="8"/>
      <name val="MS Sans Serif"/>
      <family val="2"/>
    </font>
    <font>
      <b/>
      <sz val="10"/>
      <name val=".VnTime"/>
      <family val="2"/>
    </font>
    <font>
      <sz val="10"/>
      <name val="vnTimesRoman"/>
    </font>
    <font>
      <b/>
      <sz val="14"/>
      <name val=".VnTimeH"/>
      <family val="2"/>
    </font>
    <font>
      <sz val="12"/>
      <name val="±¼¸²Ã¼"/>
      <family val="3"/>
      <charset val="129"/>
    </font>
    <font>
      <sz val="10"/>
      <name val="VNI-Helve"/>
    </font>
    <font>
      <u/>
      <sz val="10"/>
      <color indexed="12"/>
      <name val=".VnTime"/>
      <family val="2"/>
    </font>
    <font>
      <u/>
      <sz val="12"/>
      <color indexed="12"/>
      <name val=".VnTime"/>
      <family val="2"/>
    </font>
    <font>
      <u/>
      <sz val="12"/>
      <color indexed="12"/>
      <name val="Arial"/>
      <family val="2"/>
    </font>
    <font>
      <sz val="10"/>
      <name val="VNI-Avo"/>
    </font>
    <font>
      <b/>
      <sz val="11"/>
      <color indexed="9"/>
      <name val="Calibri"/>
      <family val="2"/>
    </font>
    <font>
      <b/>
      <sz val="14"/>
      <name val=".VnArialH"/>
      <family val="2"/>
    </font>
    <font>
      <sz val="8"/>
      <name val="VNarial"/>
      <family val="2"/>
    </font>
    <font>
      <b/>
      <sz val="11"/>
      <name val="Helv"/>
    </font>
    <font>
      <sz val="10"/>
      <name val=".VnAvant"/>
      <family val="2"/>
    </font>
    <font>
      <sz val="7"/>
      <name val="Small Fonts"/>
      <family val="2"/>
    </font>
    <font>
      <b/>
      <sz val="12"/>
      <name val="VN-NTime"/>
    </font>
    <font>
      <sz val="12"/>
      <name val="???"/>
      <family val="1"/>
      <charset val="129"/>
    </font>
    <font>
      <b/>
      <i/>
      <sz val="16"/>
      <name val="Helv"/>
    </font>
    <font>
      <sz val="12"/>
      <name val="바탕체"/>
      <family val="1"/>
      <charset val="129"/>
    </font>
    <font>
      <sz val="11"/>
      <color indexed="8"/>
      <name val="Helvetica Neue"/>
    </font>
    <font>
      <sz val="11"/>
      <name val="VNI-Times"/>
    </font>
    <font>
      <sz val="10"/>
      <name val="VNlucida sans"/>
      <family val="2"/>
    </font>
    <font>
      <sz val="11"/>
      <name val="VNI-Aptima"/>
    </font>
    <font>
      <sz val="11"/>
      <color indexed="52"/>
      <name val="Calibri"/>
      <family val="2"/>
    </font>
    <font>
      <b/>
      <sz val="11"/>
      <name val="Arial"/>
      <family val="2"/>
    </font>
    <font>
      <sz val="14"/>
      <name val=".VnArial Narrow"/>
      <family val="2"/>
    </font>
    <font>
      <sz val="12"/>
      <name val="Helv"/>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2"/>
      <name val="VNI-Times"/>
    </font>
    <font>
      <sz val="11"/>
      <name val=".VnAvant"/>
      <family val="2"/>
    </font>
    <font>
      <b/>
      <sz val="13"/>
      <color indexed="8"/>
      <name val=".VnTimeH"/>
      <family val="2"/>
    </font>
    <font>
      <b/>
      <u val="double"/>
      <sz val="12"/>
      <color indexed="12"/>
      <name val=".VnBahamasB"/>
      <family val="2"/>
    </font>
    <font>
      <b/>
      <sz val="18"/>
      <color indexed="56"/>
      <name val="Cambria"/>
      <family val="2"/>
    </font>
    <font>
      <b/>
      <sz val="11"/>
      <color indexed="52"/>
      <name val="Calibri"/>
      <family val="2"/>
    </font>
    <font>
      <sz val="9.5"/>
      <name val=".VnBlackH"/>
      <family val="2"/>
    </font>
    <font>
      <b/>
      <sz val="10"/>
      <name val=".VnBahamasBH"/>
      <family val="2"/>
    </font>
    <font>
      <b/>
      <sz val="11"/>
      <name val=".VnArialH"/>
      <family val="2"/>
    </font>
    <font>
      <b/>
      <sz val="11"/>
      <color indexed="8"/>
      <name val="Calibri"/>
      <family val="2"/>
    </font>
    <font>
      <b/>
      <sz val="10"/>
      <name val=".VnArialH"/>
      <family val="2"/>
    </font>
    <font>
      <sz val="11"/>
      <color indexed="17"/>
      <name val="Calibri"/>
      <family val="2"/>
    </font>
    <font>
      <sz val="11"/>
      <color indexed="60"/>
      <name val="Calibri"/>
      <family val="2"/>
    </font>
    <font>
      <sz val="10"/>
      <name val=".VnArial Narrow"/>
      <family val="2"/>
    </font>
    <font>
      <sz val="11"/>
      <color indexed="10"/>
      <name val="Calibri"/>
      <family val="2"/>
    </font>
    <font>
      <i/>
      <sz val="11"/>
      <color indexed="23"/>
      <name val="Calibri"/>
      <family val="2"/>
    </font>
    <font>
      <sz val="10"/>
      <name val="VNtimes new roman"/>
      <family val="2"/>
    </font>
    <font>
      <sz val="10"/>
      <color indexed="8"/>
      <name val="MS Sans Serif"/>
      <family val="2"/>
    </font>
    <font>
      <sz val="14"/>
      <name val="VnTime"/>
      <family val="2"/>
    </font>
    <font>
      <sz val="8"/>
      <name val=".VnTime"/>
      <family val="2"/>
    </font>
    <font>
      <b/>
      <sz val="8"/>
      <name val="VN Helvetica"/>
    </font>
    <font>
      <b/>
      <sz val="12"/>
      <name val=".VnTime"/>
      <family val="2"/>
    </font>
    <font>
      <b/>
      <sz val="10"/>
      <name val="VN AvantGBook"/>
    </font>
    <font>
      <b/>
      <sz val="16"/>
      <name val=".VnTime"/>
      <family val="2"/>
    </font>
    <font>
      <sz val="9"/>
      <name val=".VnTime"/>
      <family val="2"/>
    </font>
    <font>
      <sz val="10"/>
      <name val="Geneva"/>
      <family val="2"/>
    </font>
    <font>
      <sz val="11"/>
      <color indexed="20"/>
      <name val="Calibri"/>
      <family val="2"/>
    </font>
    <font>
      <sz val="14"/>
      <name val=".VnArial"/>
      <family val="2"/>
    </font>
    <font>
      <sz val="10"/>
      <name val=" "/>
      <family val="1"/>
      <charset val="136"/>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sz val="9"/>
      <name val="Arial"/>
      <family val="2"/>
    </font>
    <font>
      <sz val="8"/>
      <color indexed="8"/>
      <name val="Arial"/>
      <family val="2"/>
    </font>
    <font>
      <sz val="12"/>
      <color indexed="8"/>
      <name val="Times New Roman"/>
      <family val="2"/>
    </font>
    <font>
      <sz val="8"/>
      <color theme="1"/>
      <name val="Times New Roman"/>
      <family val="1"/>
    </font>
    <font>
      <b/>
      <sz val="8"/>
      <color rgb="FFC00000"/>
      <name val="Times New Roman"/>
      <family val="1"/>
    </font>
    <font>
      <sz val="8"/>
      <color rgb="FFC00000"/>
      <name val="Times New Roman"/>
      <family val="1"/>
    </font>
    <font>
      <b/>
      <sz val="9"/>
      <color rgb="FF6600CC"/>
      <name val="Times New Roman"/>
      <family val="1"/>
    </font>
    <font>
      <b/>
      <i/>
      <sz val="9"/>
      <color rgb="FF6600CC"/>
      <name val="Times New Roman"/>
      <family val="1"/>
    </font>
    <font>
      <sz val="9"/>
      <color rgb="FF6600CC"/>
      <name val="Times New Roman"/>
      <family val="1"/>
    </font>
    <font>
      <sz val="9"/>
      <color rgb="FFC00000"/>
      <name val="Times New Roman"/>
      <family val="1"/>
    </font>
    <font>
      <sz val="9"/>
      <color rgb="FFFF0000"/>
      <name val="Times New Roman"/>
      <family val="1"/>
    </font>
    <font>
      <sz val="9"/>
      <name val="Times New Roman"/>
      <family val="1"/>
    </font>
    <font>
      <b/>
      <sz val="9"/>
      <name val="Times New Roman"/>
      <family val="1"/>
    </font>
    <font>
      <b/>
      <i/>
      <sz val="9"/>
      <name val="Times New Roman"/>
      <family val="1"/>
    </font>
    <font>
      <b/>
      <sz val="8"/>
      <color rgb="FF6600CC"/>
      <name val="Times New Roman"/>
      <family val="1"/>
    </font>
    <font>
      <sz val="9"/>
      <color theme="1"/>
      <name val="Times New Roman"/>
      <family val="1"/>
    </font>
    <font>
      <b/>
      <i/>
      <sz val="9"/>
      <color rgb="FFC00000"/>
      <name val="Times New Roman"/>
      <family val="1"/>
    </font>
    <font>
      <i/>
      <sz val="9"/>
      <color theme="1"/>
      <name val="Times New Roman"/>
      <family val="1"/>
    </font>
    <font>
      <i/>
      <sz val="9"/>
      <name val="Times New Roman"/>
      <family val="1"/>
    </font>
    <font>
      <b/>
      <sz val="9"/>
      <color rgb="FFC00000"/>
      <name val="Times New Roman"/>
      <family val="1"/>
    </font>
    <font>
      <i/>
      <sz val="9"/>
      <color rgb="FFFF0000"/>
      <name val="Times New Roman"/>
      <family val="1"/>
    </font>
    <font>
      <b/>
      <i/>
      <sz val="9"/>
      <color rgb="FFFF0000"/>
      <name val="Times New Roman"/>
      <family val="1"/>
    </font>
    <font>
      <sz val="9"/>
      <color indexed="8"/>
      <name val="Times New Roman"/>
      <family val="1"/>
    </font>
    <font>
      <b/>
      <sz val="9"/>
      <color theme="1"/>
      <name val="Times New Roman"/>
      <family val="1"/>
    </font>
    <font>
      <b/>
      <sz val="9"/>
      <color rgb="FFFF0000"/>
      <name val="Times New Roman"/>
      <family val="1"/>
    </font>
    <font>
      <b/>
      <sz val="8"/>
      <color theme="1"/>
      <name val="Times New Roman"/>
      <family val="1"/>
    </font>
    <font>
      <b/>
      <sz val="8"/>
      <color rgb="FFFF0000"/>
      <name val="Times New Roman"/>
      <family val="1"/>
    </font>
    <font>
      <b/>
      <sz val="8"/>
      <name val="Times New Roman"/>
      <family val="1"/>
    </font>
    <font>
      <sz val="9"/>
      <color rgb="FF000000"/>
      <name val="Times New Roman"/>
      <family val="1"/>
    </font>
    <font>
      <sz val="8"/>
      <color rgb="FF000000"/>
      <name val="Times New Roman"/>
      <family val="1"/>
    </font>
    <font>
      <b/>
      <i/>
      <sz val="9"/>
      <color theme="1"/>
      <name val="Times New Roman"/>
      <family val="1"/>
    </font>
    <font>
      <b/>
      <i/>
      <sz val="8"/>
      <color rgb="FFC00000"/>
      <name val="Times New Roman"/>
      <family val="1"/>
    </font>
    <font>
      <i/>
      <sz val="8"/>
      <color theme="1"/>
      <name val="Times New Roman"/>
      <family val="1"/>
    </font>
    <font>
      <i/>
      <sz val="8"/>
      <name val="Times New Roman"/>
      <family val="1"/>
    </font>
    <font>
      <b/>
      <i/>
      <sz val="8"/>
      <color theme="9" tint="-0.499984740745262"/>
      <name val="Times New Roman"/>
      <family val="1"/>
    </font>
    <font>
      <sz val="8"/>
      <color rgb="FFFF0000"/>
      <name val="Times New Roman"/>
      <family val="1"/>
    </font>
    <font>
      <sz val="8"/>
      <color rgb="FF6600CC"/>
      <name val="Times New Roman"/>
      <family val="1"/>
    </font>
    <font>
      <b/>
      <i/>
      <sz val="8"/>
      <color rgb="FF6600CC"/>
      <name val="Times New Roman"/>
      <family val="1"/>
    </font>
    <font>
      <b/>
      <i/>
      <sz val="8"/>
      <color theme="1"/>
      <name val="Times New Roman"/>
      <family val="1"/>
    </font>
    <font>
      <b/>
      <i/>
      <sz val="8"/>
      <color rgb="FFFF0000"/>
      <name val="Times New Roman"/>
      <family val="1"/>
    </font>
    <font>
      <i/>
      <sz val="8"/>
      <color rgb="FFFF0000"/>
      <name val="Times New Roman"/>
      <family val="1"/>
    </font>
    <font>
      <sz val="8"/>
      <color rgb="FF00B050"/>
      <name val="Times New Roman"/>
      <family val="1"/>
    </font>
    <font>
      <sz val="8"/>
      <color indexed="8"/>
      <name val="Times New Roman"/>
      <family val="1"/>
    </font>
    <font>
      <b/>
      <i/>
      <sz val="8"/>
      <name val="Times New Roman"/>
      <family val="1"/>
    </font>
    <font>
      <sz val="8"/>
      <color rgb="FF0000FF"/>
      <name val="Times New Roman"/>
      <family val="1"/>
    </font>
    <font>
      <b/>
      <sz val="8"/>
      <color rgb="FF0000FF"/>
      <name val="Times New Roman"/>
      <family val="1"/>
    </font>
    <font>
      <sz val="9"/>
      <color rgb="FF0000FF"/>
      <name val="Times New Roman"/>
      <family val="1"/>
    </font>
    <font>
      <b/>
      <sz val="9"/>
      <color rgb="FF0000FF"/>
      <name val="Times New Roman"/>
      <family val="1"/>
    </font>
    <font>
      <i/>
      <sz val="9"/>
      <color rgb="FF0000FF"/>
      <name val="Times New Roman"/>
      <family val="1"/>
    </font>
    <font>
      <sz val="12"/>
      <name val=".VnArial Narrow"/>
      <family val="2"/>
    </font>
    <font>
      <b/>
      <i/>
      <sz val="10"/>
      <name val="Times New Roman"/>
      <family val="1"/>
      <charset val="163"/>
    </font>
    <font>
      <b/>
      <sz val="10"/>
      <name val="Times New Roman"/>
      <family val="1"/>
      <charset val="163"/>
    </font>
    <font>
      <sz val="14"/>
      <color theme="1"/>
      <name val="Times New Roman"/>
      <family val="1"/>
      <charset val="163"/>
    </font>
    <font>
      <sz val="12"/>
      <color theme="1"/>
      <name val="Times New Roman"/>
      <family val="1"/>
      <charset val="163"/>
    </font>
    <font>
      <b/>
      <sz val="12"/>
      <color theme="1"/>
      <name val="Times New Roman"/>
      <family val="1"/>
      <charset val="163"/>
    </font>
    <font>
      <i/>
      <sz val="12"/>
      <color theme="1"/>
      <name val="Times New Roman"/>
      <family val="1"/>
      <charset val="163"/>
    </font>
    <font>
      <sz val="10"/>
      <name val="Times New Roman"/>
      <family val="1"/>
      <charset val="163"/>
    </font>
    <font>
      <sz val="10"/>
      <color theme="0"/>
      <name val="Times New Roman"/>
      <family val="1"/>
      <charset val="163"/>
    </font>
    <font>
      <i/>
      <sz val="10"/>
      <name val="Times New Roman"/>
      <family val="1"/>
      <charset val="163"/>
    </font>
    <font>
      <i/>
      <sz val="9"/>
      <name val="Cambria"/>
      <family val="1"/>
      <charset val="163"/>
      <scheme val="major"/>
    </font>
    <font>
      <b/>
      <sz val="9"/>
      <name val="Cambria"/>
      <family val="1"/>
      <charset val="163"/>
      <scheme val="major"/>
    </font>
    <font>
      <b/>
      <sz val="9"/>
      <color indexed="81"/>
      <name val="Tahoma"/>
      <family val="2"/>
      <charset val="163"/>
    </font>
    <font>
      <sz val="9"/>
      <color indexed="81"/>
      <name val="Tahoma"/>
      <family val="2"/>
      <charset val="163"/>
    </font>
    <font>
      <sz val="13"/>
      <name val="Times New Roman"/>
      <family val="1"/>
    </font>
    <font>
      <sz val="10"/>
      <color indexed="8"/>
      <name val="Arial"/>
      <family val="2"/>
      <charset val="1"/>
    </font>
    <font>
      <sz val="14"/>
      <name val="Times New Roman"/>
      <family val="1"/>
    </font>
    <font>
      <sz val="11"/>
      <color theme="1"/>
      <name val="Calibri"/>
      <family val="2"/>
      <charset val="163"/>
      <scheme val="minor"/>
    </font>
    <font>
      <sz val="8"/>
      <name val="Tms Rmn"/>
    </font>
    <font>
      <sz val="12"/>
      <name val="VNI-Helve"/>
    </font>
    <font>
      <b/>
      <sz val="10"/>
      <color theme="0"/>
      <name val="Times New Roman"/>
      <family val="1"/>
      <charset val="163"/>
    </font>
    <font>
      <b/>
      <sz val="14"/>
      <color theme="1"/>
      <name val="Times New Roman"/>
      <family val="1"/>
      <charset val="163"/>
    </font>
    <font>
      <sz val="14"/>
      <name val="Times New Roman"/>
      <family val="1"/>
      <charset val="163"/>
    </font>
    <font>
      <sz val="11"/>
      <name val="Calibri"/>
      <family val="2"/>
      <scheme val="minor"/>
    </font>
    <font>
      <sz val="9"/>
      <name val="Times New Roman"/>
      <family val="1"/>
      <charset val="163"/>
    </font>
    <font>
      <i/>
      <sz val="8"/>
      <name val="Times New Roman"/>
      <family val="1"/>
      <charset val="163"/>
    </font>
    <font>
      <b/>
      <sz val="9"/>
      <name val="Times New Roman"/>
      <family val="1"/>
      <charset val="163"/>
    </font>
    <font>
      <sz val="8"/>
      <name val="Times New Roman"/>
      <family val="1"/>
      <charset val="163"/>
    </font>
    <font>
      <b/>
      <sz val="11"/>
      <name val="Calibri"/>
      <family val="2"/>
      <scheme val="minor"/>
    </font>
    <font>
      <b/>
      <sz val="8"/>
      <name val="Times New Roman"/>
      <family val="1"/>
      <charset val="163"/>
    </font>
    <font>
      <b/>
      <sz val="8"/>
      <color theme="0"/>
      <name val="Times New Roman"/>
      <family val="1"/>
    </font>
    <font>
      <b/>
      <sz val="14"/>
      <name val="Times New Roman"/>
      <family val="1"/>
      <charset val="163"/>
    </font>
    <font>
      <b/>
      <sz val="8"/>
      <name val="Calibri"/>
      <family val="2"/>
      <scheme val="minor"/>
    </font>
    <font>
      <b/>
      <sz val="8"/>
      <color theme="1"/>
      <name val="Times New Roman"/>
      <family val="1"/>
      <charset val="163"/>
    </font>
    <font>
      <i/>
      <sz val="8"/>
      <color theme="1"/>
      <name val="Times New Roman"/>
      <family val="1"/>
      <charset val="163"/>
    </font>
    <font>
      <i/>
      <sz val="8"/>
      <name val="Calibri"/>
      <family val="2"/>
      <scheme val="minor"/>
    </font>
    <font>
      <sz val="8"/>
      <name val="Calibri"/>
      <family val="2"/>
      <scheme val="minor"/>
    </font>
    <font>
      <sz val="11"/>
      <name val="Times New Roman"/>
      <family val="1"/>
      <charset val="163"/>
    </font>
    <font>
      <b/>
      <sz val="11"/>
      <name val="Times New Roman"/>
      <family val="1"/>
      <charset val="163"/>
    </font>
    <font>
      <i/>
      <sz val="9"/>
      <name val="Times New Roman"/>
      <family val="1"/>
      <charset val="163"/>
    </font>
    <font>
      <b/>
      <sz val="9"/>
      <color rgb="FFFF0000"/>
      <name val="Times New Roman"/>
      <family val="1"/>
      <charset val="163"/>
    </font>
    <font>
      <b/>
      <sz val="14"/>
      <name val="Times New Roman"/>
      <family val="1"/>
    </font>
    <font>
      <b/>
      <sz val="10"/>
      <name val="Times New Roman"/>
      <family val="1"/>
    </font>
    <font>
      <i/>
      <sz val="14"/>
      <name val="Times New Roman"/>
      <family val="1"/>
    </font>
    <font>
      <i/>
      <sz val="12"/>
      <name val="Times New Roman"/>
      <family val="1"/>
    </font>
    <font>
      <b/>
      <i/>
      <sz val="10"/>
      <name val="Times New Roman"/>
      <family val="1"/>
    </font>
    <font>
      <i/>
      <sz val="10"/>
      <name val="Times New Roman"/>
      <family val="1"/>
    </font>
    <font>
      <sz val="11"/>
      <name val="VNtimes new roman"/>
    </font>
    <font>
      <sz val="12"/>
      <color rgb="FFFF0000"/>
      <name val="Times New Roman"/>
      <family val="1"/>
      <charset val="163"/>
    </font>
    <font>
      <sz val="12"/>
      <color rgb="FF000099"/>
      <name val="Times New Roman"/>
      <family val="1"/>
      <charset val="163"/>
    </font>
    <font>
      <sz val="11"/>
      <color indexed="8"/>
      <name val="Arial"/>
      <family val="2"/>
      <charset val="163"/>
    </font>
    <font>
      <sz val="10"/>
      <color rgb="FFFF0000"/>
      <name val="Times New Roman"/>
      <family val="1"/>
    </font>
    <font>
      <b/>
      <i/>
      <sz val="8"/>
      <name val="Times New Roman"/>
      <family val="1"/>
      <charset val="163"/>
    </font>
    <font>
      <i/>
      <sz val="8"/>
      <color rgb="FFFF0000"/>
      <name val="Times New Roman"/>
      <family val="1"/>
      <charset val="163"/>
    </font>
    <font>
      <sz val="8"/>
      <color rgb="FFFF0000"/>
      <name val="Times New Roman"/>
      <family val="1"/>
      <charset val="163"/>
    </font>
    <font>
      <b/>
      <sz val="13"/>
      <color theme="1"/>
      <name val="Times New Roman"/>
      <family val="1"/>
    </font>
    <font>
      <sz val="13"/>
      <color theme="1"/>
      <name val="Times New Roman"/>
      <family val="1"/>
    </font>
    <font>
      <b/>
      <sz val="13"/>
      <name val="Times New Roman"/>
      <family val="1"/>
    </font>
    <font>
      <b/>
      <sz val="13"/>
      <color rgb="FF6600CC"/>
      <name val="Times New Roman"/>
      <family val="1"/>
    </font>
    <font>
      <b/>
      <sz val="13"/>
      <color rgb="FFC00000"/>
      <name val="Times New Roman"/>
      <family val="1"/>
    </font>
    <font>
      <sz val="13"/>
      <color rgb="FF0000FF"/>
      <name val="Times New Roman"/>
      <family val="1"/>
    </font>
    <font>
      <sz val="11"/>
      <color theme="1"/>
      <name val="Times New Roman"/>
      <family val="1"/>
    </font>
    <font>
      <b/>
      <sz val="16"/>
      <name val="Times New Roman"/>
      <family val="1"/>
      <charset val="163"/>
    </font>
    <font>
      <sz val="36"/>
      <name val="Times New Roman"/>
      <family val="1"/>
      <charset val="163"/>
    </font>
    <font>
      <i/>
      <sz val="13"/>
      <color theme="1"/>
      <name val="Times New Roman"/>
      <family val="1"/>
    </font>
    <font>
      <sz val="13"/>
      <color rgb="FFFF0000"/>
      <name val="Times New Roman"/>
      <family val="1"/>
    </font>
    <font>
      <sz val="13"/>
      <color theme="3" tint="-0.249977111117893"/>
      <name val="Times New Roman"/>
      <family val="1"/>
    </font>
    <font>
      <sz val="13"/>
      <color rgb="FF000000"/>
      <name val="Times New Roman"/>
      <family val="1"/>
    </font>
    <font>
      <b/>
      <sz val="12"/>
      <color theme="1"/>
      <name val="Times New Roman"/>
      <family val="1"/>
    </font>
    <font>
      <b/>
      <sz val="16"/>
      <color theme="1"/>
      <name val="Times New Roman"/>
      <family val="1"/>
    </font>
  </fonts>
  <fills count="6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9"/>
        <bgColor indexed="9"/>
      </patternFill>
    </fill>
    <fill>
      <patternFill patternType="solid">
        <fgColor indexed="26"/>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43"/>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8"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bgColor rgb="FF00FFFF"/>
      </patternFill>
    </fill>
    <fill>
      <patternFill patternType="solid">
        <fgColor theme="0"/>
        <bgColor rgb="FF000000"/>
      </patternFill>
    </fill>
    <fill>
      <patternFill patternType="solid">
        <fgColor rgb="FFFFC000"/>
        <bgColor indexed="64"/>
      </patternFill>
    </fill>
    <fill>
      <patternFill patternType="solid">
        <fgColor theme="3" tint="0.79998168889431442"/>
        <bgColor indexed="64"/>
      </patternFill>
    </fill>
    <fill>
      <patternFill patternType="solid">
        <fgColor theme="2"/>
        <bgColor indexed="64"/>
      </patternFill>
    </fill>
    <fill>
      <patternFill patternType="solid">
        <fgColor rgb="FFFFFFFF"/>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5"/>
        <bgColor indexed="64"/>
      </patternFill>
    </fill>
    <fill>
      <patternFill patternType="solid">
        <fgColor theme="9" tint="0.79998168889431442"/>
        <bgColor indexed="64"/>
      </patternFill>
    </fill>
  </fills>
  <borders count="77">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8"/>
      </right>
      <top style="thin">
        <color indexed="8"/>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8"/>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right style="double">
        <color indexed="64"/>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style="double">
        <color indexed="64"/>
      </bottom>
      <diagonal/>
    </border>
    <border>
      <left style="thick">
        <color indexed="64"/>
      </left>
      <right/>
      <top style="thick">
        <color indexed="64"/>
      </top>
      <bottom/>
      <diagonal/>
    </border>
    <border>
      <left style="medium">
        <color indexed="10"/>
      </left>
      <right style="medium">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8"/>
      </top>
      <bottom style="thin">
        <color indexed="64"/>
      </bottom>
      <diagonal/>
    </border>
    <border>
      <left style="double">
        <color indexed="63"/>
      </left>
      <right style="double">
        <color indexed="63"/>
      </right>
      <top style="double">
        <color indexed="63"/>
      </top>
      <bottom style="double">
        <color indexed="63"/>
      </bottom>
      <diagonal/>
    </border>
    <border>
      <left style="double">
        <color indexed="64"/>
      </left>
      <right style="thin">
        <color indexed="64"/>
      </right>
      <top style="hair">
        <color indexed="64"/>
      </top>
      <bottom style="hair">
        <color indexed="64"/>
      </bottom>
      <diagonal/>
    </border>
    <border>
      <left/>
      <right/>
      <top/>
      <bottom style="double">
        <color indexed="52"/>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double">
        <color indexed="64"/>
      </left>
      <right style="thin">
        <color indexed="64"/>
      </right>
      <top style="double">
        <color indexed="64"/>
      </top>
      <bottom/>
      <diagonal/>
    </border>
    <border>
      <left/>
      <right/>
      <top style="thin">
        <color indexed="62"/>
      </top>
      <bottom style="double">
        <color indexed="62"/>
      </bottom>
      <diagonal/>
    </border>
    <border>
      <left style="double">
        <color indexed="64"/>
      </left>
      <right style="thin">
        <color indexed="64"/>
      </right>
      <top style="hair">
        <color indexed="64"/>
      </top>
      <bottom style="double">
        <color indexed="64"/>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8"/>
      </top>
      <bottom/>
      <diagonal/>
    </border>
    <border>
      <left/>
      <right/>
      <top style="thin">
        <color auto="1"/>
      </top>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style="thin">
        <color rgb="FF000000"/>
      </left>
      <right/>
      <top style="thin">
        <color rgb="FF000000"/>
      </top>
      <bottom style="thin">
        <color rgb="FF000000"/>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style="thin">
        <color indexed="0"/>
      </left>
      <right/>
      <top style="thin">
        <color indexed="0"/>
      </top>
      <bottom style="thin">
        <color indexed="0"/>
      </bottom>
      <diagonal/>
    </border>
    <border>
      <left style="thin">
        <color indexed="0"/>
      </left>
      <right/>
      <top style="thin">
        <color indexed="0"/>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s>
  <cellStyleXfs count="1419">
    <xf numFmtId="0" fontId="0" fillId="0" borderId="0"/>
    <xf numFmtId="0" fontId="2" fillId="0" borderId="0"/>
    <xf numFmtId="0" fontId="2" fillId="0" borderId="0"/>
    <xf numFmtId="179" fontId="3" fillId="0" borderId="0" applyFont="0" applyFill="0" applyBorder="0" applyAlignment="0" applyProtection="0"/>
    <xf numFmtId="43" fontId="5" fillId="0" borderId="0" applyFont="0" applyFill="0" applyBorder="0" applyAlignment="0" applyProtection="0"/>
    <xf numFmtId="175" fontId="6" fillId="0" borderId="0" applyFont="0" applyFill="0" applyBorder="0" applyAlignment="0" applyProtection="0"/>
    <xf numFmtId="42" fontId="3" fillId="0" borderId="0" applyFont="0" applyFill="0" applyBorder="0" applyAlignment="0" applyProtection="0"/>
    <xf numFmtId="0" fontId="7" fillId="0" borderId="0"/>
    <xf numFmtId="0" fontId="8" fillId="0" borderId="0"/>
    <xf numFmtId="181" fontId="9" fillId="0" borderId="0" applyFont="0" applyFill="0" applyBorder="0" applyAlignment="0" applyProtection="0"/>
    <xf numFmtId="0" fontId="7" fillId="0" borderId="0" applyNumberFormat="0" applyFill="0" applyBorder="0" applyAlignment="0" applyProtection="0"/>
    <xf numFmtId="3" fontId="10" fillId="0" borderId="16"/>
    <xf numFmtId="180" fontId="11" fillId="0" borderId="19" applyFont="0" applyBorder="0"/>
    <xf numFmtId="0" fontId="12" fillId="0" borderId="0"/>
    <xf numFmtId="182" fontId="2"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83" fontId="14" fillId="0" borderId="0" applyFont="0" applyFill="0" applyBorder="0" applyAlignment="0" applyProtection="0"/>
    <xf numFmtId="184" fontId="2" fillId="0" borderId="0" applyFont="0" applyFill="0" applyBorder="0" applyAlignment="0" applyProtection="0"/>
    <xf numFmtId="0" fontId="2" fillId="0" borderId="0" applyNumberFormat="0" applyFill="0" applyBorder="0" applyAlignment="0" applyProtection="0"/>
    <xf numFmtId="0" fontId="15" fillId="0" borderId="0" applyFont="0" applyFill="0" applyBorder="0" applyAlignment="0" applyProtection="0"/>
    <xf numFmtId="0" fontId="16" fillId="0" borderId="20"/>
    <xf numFmtId="185" fontId="12" fillId="0" borderId="0" applyFont="0" applyFill="0" applyBorder="0" applyAlignment="0" applyProtection="0"/>
    <xf numFmtId="173" fontId="17" fillId="0" borderId="0" applyFont="0" applyFill="0" applyBorder="0" applyAlignment="0" applyProtection="0"/>
    <xf numFmtId="175" fontId="17" fillId="0" borderId="0" applyFont="0" applyFill="0" applyBorder="0" applyAlignment="0" applyProtection="0"/>
    <xf numFmtId="186" fontId="18" fillId="0" borderId="0" applyFont="0" applyFill="0" applyBorder="0" applyAlignment="0" applyProtection="0"/>
    <xf numFmtId="0" fontId="19"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0" fillId="0" borderId="0"/>
    <xf numFmtId="0" fontId="2" fillId="0" borderId="0" applyNumberFormat="0" applyFill="0" applyBorder="0" applyAlignment="0" applyProtection="0"/>
    <xf numFmtId="173" fontId="7" fillId="0" borderId="0" applyFont="0" applyFill="0" applyBorder="0" applyAlignment="0" applyProtection="0"/>
    <xf numFmtId="42" fontId="21" fillId="0" borderId="0" applyFont="0" applyFill="0" applyBorder="0" applyAlignment="0" applyProtection="0"/>
    <xf numFmtId="187" fontId="7" fillId="0" borderId="0" applyFont="0" applyFill="0" applyBorder="0" applyAlignment="0" applyProtection="0"/>
    <xf numFmtId="42" fontId="21" fillId="0" borderId="0" applyFont="0" applyFill="0" applyBorder="0" applyAlignment="0" applyProtection="0"/>
    <xf numFmtId="0" fontId="22" fillId="0" borderId="0">
      <alignment vertical="top"/>
    </xf>
    <xf numFmtId="0" fontId="22" fillId="0" borderId="0">
      <alignment vertical="top"/>
    </xf>
    <xf numFmtId="0" fontId="12" fillId="0" borderId="0" applyNumberFormat="0" applyFill="0" applyBorder="0" applyAlignment="0" applyProtection="0"/>
    <xf numFmtId="0" fontId="13" fillId="0" borderId="0"/>
    <xf numFmtId="0" fontId="13" fillId="0" borderId="0"/>
    <xf numFmtId="0" fontId="13" fillId="0" borderId="0"/>
    <xf numFmtId="42" fontId="21" fillId="0" borderId="0" applyFont="0" applyFill="0" applyBorder="0" applyAlignment="0" applyProtection="0"/>
    <xf numFmtId="0" fontId="12" fillId="0" borderId="0" applyNumberFormat="0" applyFill="0" applyBorder="0" applyAlignment="0" applyProtection="0"/>
    <xf numFmtId="0" fontId="13" fillId="0" borderId="0"/>
    <xf numFmtId="0" fontId="13" fillId="0" borderId="0"/>
    <xf numFmtId="0" fontId="13"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13" fillId="0" borderId="0"/>
    <xf numFmtId="42" fontId="21" fillId="0" borderId="0" applyFont="0" applyFill="0" applyBorder="0" applyAlignment="0" applyProtection="0"/>
    <xf numFmtId="179" fontId="9" fillId="0" borderId="0" applyFont="0" applyFill="0" applyBorder="0" applyAlignment="0" applyProtection="0"/>
    <xf numFmtId="181"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89"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90" fontId="21" fillId="0" borderId="0" applyFont="0" applyFill="0" applyBorder="0" applyAlignment="0" applyProtection="0"/>
    <xf numFmtId="43" fontId="21" fillId="0" borderId="0" applyFont="0" applyFill="0" applyBorder="0" applyAlignment="0" applyProtection="0"/>
    <xf numFmtId="190"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43" fontId="21" fillId="0" borderId="0" applyFont="0" applyFill="0" applyBorder="0" applyAlignment="0" applyProtection="0"/>
    <xf numFmtId="173" fontId="9" fillId="0" borderId="0" applyFont="0" applyFill="0" applyBorder="0" applyAlignment="0" applyProtection="0"/>
    <xf numFmtId="42" fontId="21" fillId="0" borderId="0" applyFont="0" applyFill="0" applyBorder="0" applyAlignment="0" applyProtection="0"/>
    <xf numFmtId="191" fontId="21" fillId="0" borderId="0" applyFont="0" applyFill="0" applyBorder="0" applyAlignment="0" applyProtection="0"/>
    <xf numFmtId="192" fontId="9" fillId="0" borderId="0" applyFont="0" applyFill="0" applyBorder="0" applyAlignment="0" applyProtection="0"/>
    <xf numFmtId="192" fontId="21" fillId="0" borderId="0" applyFont="0" applyFill="0" applyBorder="0" applyAlignment="0" applyProtection="0"/>
    <xf numFmtId="176"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89"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90" fontId="21" fillId="0" borderId="0" applyFont="0" applyFill="0" applyBorder="0" applyAlignment="0" applyProtection="0"/>
    <xf numFmtId="43" fontId="21" fillId="0" borderId="0" applyFont="0" applyFill="0" applyBorder="0" applyAlignment="0" applyProtection="0"/>
    <xf numFmtId="190" fontId="21" fillId="0" borderId="0" applyFont="0" applyFill="0" applyBorder="0" applyAlignment="0" applyProtection="0"/>
    <xf numFmtId="175" fontId="21"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75" fontId="21" fillId="0" borderId="0" applyFon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187"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193" fontId="21" fillId="0" borderId="0" applyFont="0" applyFill="0" applyBorder="0" applyAlignment="0" applyProtection="0"/>
    <xf numFmtId="41" fontId="21" fillId="0" borderId="0" applyFont="0" applyFill="0" applyBorder="0" applyAlignment="0" applyProtection="0"/>
    <xf numFmtId="173" fontId="21" fillId="0" borderId="0" applyFont="0" applyFill="0" applyBorder="0" applyAlignment="0" applyProtection="0"/>
    <xf numFmtId="173" fontId="21" fillId="0" borderId="0" applyFont="0" applyFill="0" applyBorder="0" applyAlignment="0" applyProtection="0"/>
    <xf numFmtId="41" fontId="21" fillId="0" borderId="0" applyFont="0" applyFill="0" applyBorder="0" applyAlignment="0" applyProtection="0"/>
    <xf numFmtId="191" fontId="21" fillId="0" borderId="0" applyFont="0" applyFill="0" applyBorder="0" applyAlignment="0" applyProtection="0"/>
    <xf numFmtId="192" fontId="9" fillId="0" borderId="0" applyFont="0" applyFill="0" applyBorder="0" applyAlignment="0" applyProtection="0"/>
    <xf numFmtId="192" fontId="21" fillId="0" borderId="0" applyFont="0" applyFill="0" applyBorder="0" applyAlignment="0" applyProtection="0"/>
    <xf numFmtId="176" fontId="21" fillId="0" borderId="0" applyFont="0" applyFill="0" applyBorder="0" applyAlignment="0" applyProtection="0"/>
    <xf numFmtId="173" fontId="9" fillId="0" borderId="0" applyFont="0" applyFill="0" applyBorder="0" applyAlignment="0" applyProtection="0"/>
    <xf numFmtId="175" fontId="9"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187"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193" fontId="21" fillId="0" borderId="0" applyFont="0" applyFill="0" applyBorder="0" applyAlignment="0" applyProtection="0"/>
    <xf numFmtId="41" fontId="21" fillId="0" borderId="0" applyFont="0" applyFill="0" applyBorder="0" applyAlignment="0" applyProtection="0"/>
    <xf numFmtId="173" fontId="21" fillId="0" borderId="0" applyFont="0" applyFill="0" applyBorder="0" applyAlignment="0" applyProtection="0"/>
    <xf numFmtId="173" fontId="21" fillId="0" borderId="0" applyFont="0" applyFill="0" applyBorder="0" applyAlignment="0" applyProtection="0"/>
    <xf numFmtId="41"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89"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90" fontId="21" fillId="0" borderId="0" applyFont="0" applyFill="0" applyBorder="0" applyAlignment="0" applyProtection="0"/>
    <xf numFmtId="43" fontId="21" fillId="0" borderId="0" applyFont="0" applyFill="0" applyBorder="0" applyAlignment="0" applyProtection="0"/>
    <xf numFmtId="190"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43" fontId="21" fillId="0" borderId="0" applyFont="0" applyFill="0" applyBorder="0" applyAlignment="0" applyProtection="0"/>
    <xf numFmtId="173" fontId="9" fillId="0" borderId="0" applyFont="0" applyFill="0" applyBorder="0" applyAlignment="0" applyProtection="0"/>
    <xf numFmtId="179" fontId="9" fillId="0" borderId="0" applyFont="0" applyFill="0" applyBorder="0" applyAlignment="0" applyProtection="0"/>
    <xf numFmtId="181" fontId="9" fillId="0" borderId="0" applyFont="0" applyFill="0" applyBorder="0" applyAlignment="0" applyProtection="0"/>
    <xf numFmtId="175"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91" fontId="21" fillId="0" borderId="0" applyFont="0" applyFill="0" applyBorder="0" applyAlignment="0" applyProtection="0"/>
    <xf numFmtId="192" fontId="9" fillId="0" borderId="0" applyFont="0" applyFill="0" applyBorder="0" applyAlignment="0" applyProtection="0"/>
    <xf numFmtId="19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0" fontId="13" fillId="0" borderId="0"/>
    <xf numFmtId="176"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173" fontId="9"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187"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193" fontId="21" fillId="0" borderId="0" applyFont="0" applyFill="0" applyBorder="0" applyAlignment="0" applyProtection="0"/>
    <xf numFmtId="41" fontId="21" fillId="0" borderId="0" applyFont="0" applyFill="0" applyBorder="0" applyAlignment="0" applyProtection="0"/>
    <xf numFmtId="173" fontId="21" fillId="0" borderId="0" applyFont="0" applyFill="0" applyBorder="0" applyAlignment="0" applyProtection="0"/>
    <xf numFmtId="173" fontId="21" fillId="0" borderId="0" applyFont="0" applyFill="0" applyBorder="0" applyAlignment="0" applyProtection="0"/>
    <xf numFmtId="41"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89"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90" fontId="21" fillId="0" borderId="0" applyFont="0" applyFill="0" applyBorder="0" applyAlignment="0" applyProtection="0"/>
    <xf numFmtId="43" fontId="21" fillId="0" borderId="0" applyFont="0" applyFill="0" applyBorder="0" applyAlignment="0" applyProtection="0"/>
    <xf numFmtId="190"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43" fontId="21" fillId="0" borderId="0" applyFont="0" applyFill="0" applyBorder="0" applyAlignment="0" applyProtection="0"/>
    <xf numFmtId="179" fontId="9" fillId="0" borderId="0" applyFont="0" applyFill="0" applyBorder="0" applyAlignment="0" applyProtection="0"/>
    <xf numFmtId="181"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0" fontId="12" fillId="0" borderId="0" applyNumberForma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0" fontId="13" fillId="0" borderId="0"/>
    <xf numFmtId="0" fontId="12" fillId="0" borderId="0" applyNumberFormat="0" applyFill="0" applyBorder="0" applyAlignment="0" applyProtection="0"/>
    <xf numFmtId="0" fontId="12" fillId="0" borderId="0" applyNumberFormat="0" applyFill="0" applyBorder="0" applyAlignment="0" applyProtection="0"/>
    <xf numFmtId="42" fontId="21" fillId="0" borderId="0" applyFont="0" applyFill="0" applyBorder="0" applyAlignment="0" applyProtection="0"/>
    <xf numFmtId="0" fontId="22" fillId="0" borderId="0">
      <alignment vertical="top"/>
    </xf>
    <xf numFmtId="0" fontId="22" fillId="0" borderId="0">
      <alignment vertical="top"/>
    </xf>
    <xf numFmtId="0" fontId="22" fillId="0" borderId="0">
      <alignment vertical="top"/>
    </xf>
    <xf numFmtId="0" fontId="12" fillId="0" borderId="0" applyNumberFormat="0" applyFill="0" applyBorder="0" applyAlignment="0" applyProtection="0"/>
    <xf numFmtId="0" fontId="13" fillId="0" borderId="0"/>
    <xf numFmtId="0" fontId="13" fillId="0" borderId="0"/>
    <xf numFmtId="194" fontId="24" fillId="0" borderId="0" applyFont="0" applyFill="0" applyBorder="0" applyAlignment="0" applyProtection="0"/>
    <xf numFmtId="195" fontId="25" fillId="0" borderId="0" applyFont="0" applyFill="0" applyBorder="0" applyAlignment="0" applyProtection="0"/>
    <xf numFmtId="196" fontId="25" fillId="0" borderId="0" applyFont="0" applyFill="0" applyBorder="0" applyAlignment="0" applyProtection="0"/>
    <xf numFmtId="0" fontId="26" fillId="0" borderId="0"/>
    <xf numFmtId="0" fontId="27" fillId="0" borderId="0"/>
    <xf numFmtId="0" fontId="27" fillId="0" borderId="0"/>
    <xf numFmtId="0" fontId="14" fillId="0" borderId="0"/>
    <xf numFmtId="1" fontId="28" fillId="0" borderId="16" applyBorder="0" applyAlignment="0">
      <alignment horizontal="center"/>
    </xf>
    <xf numFmtId="3" fontId="10" fillId="0" borderId="16"/>
    <xf numFmtId="3" fontId="10" fillId="0" borderId="16"/>
    <xf numFmtId="194" fontId="24" fillId="0" borderId="0" applyFont="0" applyFill="0" applyBorder="0" applyAlignment="0" applyProtection="0"/>
    <xf numFmtId="0" fontId="29" fillId="4" borderId="0"/>
    <xf numFmtId="0" fontId="30" fillId="4" borderId="0"/>
    <xf numFmtId="0" fontId="30" fillId="4" borderId="0"/>
    <xf numFmtId="0" fontId="30" fillId="4" borderId="0"/>
    <xf numFmtId="0" fontId="29" fillId="4" borderId="0"/>
    <xf numFmtId="0" fontId="29" fillId="4" borderId="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0" fontId="7" fillId="4" borderId="0"/>
    <xf numFmtId="0" fontId="30" fillId="4" borderId="0"/>
    <xf numFmtId="0" fontId="29" fillId="4" borderId="0"/>
    <xf numFmtId="0" fontId="29" fillId="4" borderId="0"/>
    <xf numFmtId="0" fontId="31" fillId="0" borderId="18" applyFont="0" applyAlignment="0">
      <alignment horizontal="left"/>
    </xf>
    <xf numFmtId="0" fontId="32" fillId="0" borderId="0" applyFont="0" applyFill="0" applyBorder="0" applyAlignment="0">
      <alignment horizontal="left"/>
    </xf>
    <xf numFmtId="0" fontId="31" fillId="0" borderId="18" applyFont="0" applyAlignment="0">
      <alignment horizontal="left"/>
    </xf>
    <xf numFmtId="0" fontId="30" fillId="4" borderId="0"/>
    <xf numFmtId="0" fontId="29" fillId="4" borderId="0"/>
    <xf numFmtId="0" fontId="32" fillId="0" borderId="0" applyFont="0" applyFill="0" applyBorder="0" applyAlignment="0">
      <alignment horizontal="left"/>
    </xf>
    <xf numFmtId="0" fontId="29" fillId="4" borderId="0"/>
    <xf numFmtId="0" fontId="29" fillId="4" borderId="0"/>
    <xf numFmtId="0" fontId="30" fillId="4" borderId="0"/>
    <xf numFmtId="0" fontId="30" fillId="4" borderId="0"/>
    <xf numFmtId="0" fontId="30" fillId="4" borderId="0"/>
    <xf numFmtId="0" fontId="33" fillId="0" borderId="16" applyNumberFormat="0" applyFont="0" applyBorder="0">
      <alignment horizontal="left" indent="2"/>
    </xf>
    <xf numFmtId="0" fontId="32" fillId="0" borderId="0" applyFont="0" applyFill="0" applyBorder="0" applyAlignment="0">
      <alignment horizontal="left"/>
    </xf>
    <xf numFmtId="0" fontId="33" fillId="0" borderId="16" applyNumberFormat="0" applyFont="0" applyBorder="0">
      <alignment horizontal="left" indent="2"/>
    </xf>
    <xf numFmtId="0" fontId="32" fillId="0" borderId="0" applyFont="0" applyFill="0" applyBorder="0" applyAlignment="0">
      <alignment horizontal="left"/>
    </xf>
    <xf numFmtId="0" fontId="34" fillId="5" borderId="21" applyFont="0" applyFill="0" applyAlignment="0">
      <alignment vertical="center" wrapText="1"/>
    </xf>
    <xf numFmtId="9" fontId="35" fillId="0" borderId="0" applyBorder="0" applyAlignment="0" applyProtection="0"/>
    <xf numFmtId="0" fontId="36" fillId="4" borderId="0"/>
    <xf numFmtId="0" fontId="29" fillId="4" borderId="0"/>
    <xf numFmtId="0" fontId="36" fillId="4" borderId="0"/>
    <xf numFmtId="0" fontId="29" fillId="4" borderId="0"/>
    <xf numFmtId="0" fontId="29" fillId="4" borderId="0"/>
    <xf numFmtId="0" fontId="7" fillId="4" borderId="0"/>
    <xf numFmtId="0" fontId="29" fillId="4" borderId="0"/>
    <xf numFmtId="0" fontId="29" fillId="4" borderId="0"/>
    <xf numFmtId="0" fontId="36" fillId="4" borderId="0"/>
    <xf numFmtId="0" fontId="29" fillId="4" borderId="0"/>
    <xf numFmtId="0" fontId="29" fillId="4" borderId="0"/>
    <xf numFmtId="0" fontId="29" fillId="4" borderId="0"/>
    <xf numFmtId="0" fontId="36" fillId="4" borderId="0"/>
    <xf numFmtId="0" fontId="36" fillId="4" borderId="0"/>
    <xf numFmtId="0" fontId="33" fillId="0" borderId="16" applyNumberFormat="0" applyFont="0" applyBorder="0" applyAlignment="0">
      <alignment horizontal="center"/>
    </xf>
    <xf numFmtId="0" fontId="33" fillId="0" borderId="16" applyNumberFormat="0" applyFont="0" applyBorder="0" applyAlignment="0">
      <alignment horizontal="center"/>
    </xf>
    <xf numFmtId="0" fontId="7" fillId="0" borderId="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 fillId="0" borderId="0"/>
    <xf numFmtId="0" fontId="37" fillId="4" borderId="0"/>
    <xf numFmtId="0" fontId="29" fillId="4" borderId="0"/>
    <xf numFmtId="0" fontId="37" fillId="4" borderId="0"/>
    <xf numFmtId="0" fontId="29" fillId="4" borderId="0"/>
    <xf numFmtId="0" fontId="29" fillId="4" borderId="0"/>
    <xf numFmtId="0" fontId="7" fillId="4" borderId="0"/>
    <xf numFmtId="0" fontId="29" fillId="4" borderId="0"/>
    <xf numFmtId="0" fontId="29" fillId="4" borderId="0"/>
    <xf numFmtId="0" fontId="37" fillId="4" borderId="0"/>
    <xf numFmtId="0" fontId="29" fillId="4" borderId="0"/>
    <xf numFmtId="0" fontId="29" fillId="4" borderId="0"/>
    <xf numFmtId="0" fontId="29" fillId="4" borderId="0"/>
    <xf numFmtId="0" fontId="37" fillId="4" borderId="0"/>
    <xf numFmtId="0" fontId="38" fillId="0" borderId="0">
      <alignment wrapText="1"/>
    </xf>
    <xf numFmtId="0" fontId="29" fillId="0" borderId="0">
      <alignment wrapText="1"/>
    </xf>
    <xf numFmtId="0" fontId="38" fillId="0" borderId="0">
      <alignment wrapText="1"/>
    </xf>
    <xf numFmtId="0" fontId="29" fillId="0" borderId="0">
      <alignment wrapText="1"/>
    </xf>
    <xf numFmtId="0" fontId="29" fillId="0" borderId="0">
      <alignment wrapText="1"/>
    </xf>
    <xf numFmtId="0" fontId="7" fillId="0" borderId="0">
      <alignment wrapText="1"/>
    </xf>
    <xf numFmtId="0" fontId="29" fillId="0" borderId="0">
      <alignment wrapText="1"/>
    </xf>
    <xf numFmtId="0" fontId="29" fillId="0" borderId="0">
      <alignment wrapText="1"/>
    </xf>
    <xf numFmtId="0" fontId="38" fillId="0" borderId="0">
      <alignment wrapText="1"/>
    </xf>
    <xf numFmtId="0" fontId="29" fillId="0" borderId="0">
      <alignment wrapText="1"/>
    </xf>
    <xf numFmtId="0" fontId="29" fillId="0" borderId="0">
      <alignment wrapText="1"/>
    </xf>
    <xf numFmtId="0" fontId="29" fillId="0" borderId="0">
      <alignment wrapText="1"/>
    </xf>
    <xf numFmtId="0" fontId="38" fillId="0" borderId="0">
      <alignment wrapText="1"/>
    </xf>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12" fillId="0" borderId="0"/>
    <xf numFmtId="0" fontId="12" fillId="0" borderId="0"/>
    <xf numFmtId="0" fontId="12" fillId="0" borderId="0"/>
    <xf numFmtId="0" fontId="7" fillId="0" borderId="0"/>
    <xf numFmtId="0" fontId="12" fillId="0" borderId="0"/>
    <xf numFmtId="0" fontId="12" fillId="0" borderId="0"/>
    <xf numFmtId="0" fontId="39" fillId="16"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40" fillId="0" borderId="0"/>
    <xf numFmtId="197" fontId="2" fillId="0" borderId="0" applyFont="0" applyFill="0" applyBorder="0" applyAlignment="0" applyProtection="0"/>
    <xf numFmtId="0" fontId="41" fillId="0" borderId="0" applyFont="0" applyFill="0" applyBorder="0" applyAlignment="0" applyProtection="0"/>
    <xf numFmtId="198" fontId="9" fillId="0" borderId="0" applyFont="0" applyFill="0" applyBorder="0" applyAlignment="0" applyProtection="0"/>
    <xf numFmtId="199" fontId="2" fillId="0" borderId="0" applyFont="0" applyFill="0" applyBorder="0" applyAlignment="0" applyProtection="0"/>
    <xf numFmtId="0" fontId="41" fillId="0" borderId="0" applyFont="0" applyFill="0" applyBorder="0" applyAlignment="0" applyProtection="0"/>
    <xf numFmtId="199" fontId="2" fillId="0" borderId="0" applyFont="0" applyFill="0" applyBorder="0" applyAlignment="0" applyProtection="0"/>
    <xf numFmtId="0" fontId="42" fillId="0" borderId="0">
      <alignment horizontal="center" wrapText="1"/>
      <protection locked="0"/>
    </xf>
    <xf numFmtId="0" fontId="43" fillId="0" borderId="0" applyNumberFormat="0" applyBorder="0" applyAlignment="0">
      <alignment horizontal="center"/>
    </xf>
    <xf numFmtId="177" fontId="44" fillId="0" borderId="0" applyFont="0" applyFill="0" applyBorder="0" applyAlignment="0" applyProtection="0"/>
    <xf numFmtId="0" fontId="41" fillId="0" borderId="0" applyFont="0" applyFill="0" applyBorder="0" applyAlignment="0" applyProtection="0"/>
    <xf numFmtId="177" fontId="44" fillId="0" borderId="0" applyFont="0" applyFill="0" applyBorder="0" applyAlignment="0" applyProtection="0"/>
    <xf numFmtId="178" fontId="44" fillId="0" borderId="0" applyFont="0" applyFill="0" applyBorder="0" applyAlignment="0" applyProtection="0"/>
    <xf numFmtId="0" fontId="41" fillId="0" borderId="0" applyFont="0" applyFill="0" applyBorder="0" applyAlignment="0" applyProtection="0"/>
    <xf numFmtId="178" fontId="44" fillId="0" borderId="0" applyFont="0" applyFill="0" applyBorder="0" applyAlignment="0" applyProtection="0"/>
    <xf numFmtId="179" fontId="9" fillId="0" borderId="0" applyFont="0" applyFill="0" applyBorder="0" applyAlignment="0" applyProtection="0"/>
    <xf numFmtId="0" fontId="45" fillId="0" borderId="0" applyNumberFormat="0" applyFill="0" applyBorder="0" applyAlignment="0" applyProtection="0"/>
    <xf numFmtId="0" fontId="41" fillId="0" borderId="0"/>
    <xf numFmtId="0" fontId="46" fillId="0" borderId="0"/>
    <xf numFmtId="0" fontId="14" fillId="0" borderId="0"/>
    <xf numFmtId="0" fontId="41" fillId="0" borderId="0"/>
    <xf numFmtId="0" fontId="47" fillId="0" borderId="0"/>
    <xf numFmtId="0" fontId="48" fillId="0" borderId="0"/>
    <xf numFmtId="0" fontId="49" fillId="0" borderId="0"/>
    <xf numFmtId="200" fontId="23" fillId="0" borderId="0" applyFill="0" applyBorder="0" applyAlignment="0"/>
    <xf numFmtId="201" fontId="50" fillId="0" borderId="0" applyFill="0" applyBorder="0" applyAlignment="0"/>
    <xf numFmtId="202" fontId="2" fillId="0" borderId="0" applyFill="0" applyBorder="0" applyAlignment="0"/>
    <xf numFmtId="203" fontId="2" fillId="0" borderId="0" applyFill="0" applyBorder="0" applyAlignment="0"/>
    <xf numFmtId="204" fontId="2" fillId="0" borderId="0" applyFill="0" applyBorder="0" applyAlignment="0"/>
    <xf numFmtId="205" fontId="50" fillId="0" borderId="0" applyFill="0" applyBorder="0" applyAlignment="0"/>
    <xf numFmtId="206" fontId="50" fillId="0" borderId="0" applyFill="0" applyBorder="0" applyAlignment="0"/>
    <xf numFmtId="201" fontId="50" fillId="0" borderId="0" applyFill="0" applyBorder="0" applyAlignment="0"/>
    <xf numFmtId="0" fontId="51" fillId="0" borderId="0"/>
    <xf numFmtId="207" fontId="21" fillId="0" borderId="0" applyFont="0" applyFill="0" applyBorder="0" applyAlignment="0" applyProtection="0"/>
    <xf numFmtId="180" fontId="52" fillId="0" borderId="0" applyFont="0" applyFill="0" applyBorder="0" applyAlignment="0" applyProtection="0"/>
    <xf numFmtId="4" fontId="53" fillId="0" borderId="0" applyAlignment="0"/>
    <xf numFmtId="1" fontId="54" fillId="0" borderId="12" applyBorder="0"/>
    <xf numFmtId="208" fontId="55" fillId="0" borderId="0"/>
    <xf numFmtId="208" fontId="55" fillId="0" borderId="0"/>
    <xf numFmtId="208" fontId="55" fillId="0" borderId="0"/>
    <xf numFmtId="208" fontId="55" fillId="0" borderId="0"/>
    <xf numFmtId="208" fontId="55" fillId="0" borderId="0"/>
    <xf numFmtId="208" fontId="55" fillId="0" borderId="0"/>
    <xf numFmtId="208" fontId="55" fillId="0" borderId="0"/>
    <xf numFmtId="208" fontId="55" fillId="0" borderId="0"/>
    <xf numFmtId="42" fontId="3" fillId="0" borderId="0" applyFont="0" applyFill="0" applyBorder="0" applyAlignment="0" applyProtection="0"/>
    <xf numFmtId="209" fontId="3" fillId="0" borderId="0" applyFont="0" applyFill="0" applyBorder="0" applyAlignment="0" applyProtection="0"/>
    <xf numFmtId="205" fontId="50" fillId="0" borderId="0" applyFont="0" applyFill="0" applyBorder="0" applyAlignment="0" applyProtection="0"/>
    <xf numFmtId="175" fontId="6" fillId="0" borderId="0" applyFont="0" applyFill="0" applyBorder="0" applyAlignment="0" applyProtection="0"/>
    <xf numFmtId="179" fontId="3" fillId="0" borderId="0" applyFont="0" applyFill="0" applyBorder="0" applyAlignment="0" applyProtection="0"/>
    <xf numFmtId="21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6"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211" fontId="57" fillId="0" borderId="0"/>
    <xf numFmtId="3" fontId="2" fillId="0" borderId="0" applyFont="0" applyFill="0" applyBorder="0" applyAlignment="0" applyProtection="0"/>
    <xf numFmtId="0" fontId="58" fillId="0" borderId="0"/>
    <xf numFmtId="0" fontId="50" fillId="0" borderId="0"/>
    <xf numFmtId="0" fontId="58" fillId="0" borderId="0"/>
    <xf numFmtId="0" fontId="50" fillId="0" borderId="0"/>
    <xf numFmtId="0" fontId="59" fillId="0" borderId="0">
      <alignment horizontal="center"/>
    </xf>
    <xf numFmtId="0" fontId="60" fillId="0" borderId="0" applyNumberFormat="0" applyAlignment="0">
      <alignment horizontal="left"/>
    </xf>
    <xf numFmtId="212" fontId="46" fillId="0" borderId="0" applyFont="0" applyFill="0" applyBorder="0" applyAlignment="0" applyProtection="0"/>
    <xf numFmtId="201" fontId="50" fillId="0" borderId="0" applyFont="0" applyFill="0" applyBorder="0" applyAlignment="0" applyProtection="0"/>
    <xf numFmtId="213" fontId="7" fillId="0" borderId="0" applyFont="0" applyFill="0" applyBorder="0" applyAlignment="0" applyProtection="0"/>
    <xf numFmtId="214" fontId="57" fillId="0" borderId="0"/>
    <xf numFmtId="215" fontId="7" fillId="0" borderId="22"/>
    <xf numFmtId="0" fontId="2" fillId="0" borderId="0" applyFont="0" applyFill="0" applyBorder="0" applyAlignment="0" applyProtection="0"/>
    <xf numFmtId="14" fontId="22" fillId="0" borderId="0" applyFill="0" applyBorder="0" applyAlignment="0"/>
    <xf numFmtId="0" fontId="61" fillId="0" borderId="0" applyProtection="0"/>
    <xf numFmtId="0" fontId="62" fillId="20" borderId="23" applyNumberFormat="0" applyAlignment="0" applyProtection="0"/>
    <xf numFmtId="0" fontId="63" fillId="11" borderId="24" applyNumberFormat="0" applyAlignment="0" applyProtection="0"/>
    <xf numFmtId="3" fontId="64" fillId="0" borderId="5">
      <alignment horizontal="left" vertical="top" wrapText="1"/>
    </xf>
    <xf numFmtId="0" fontId="65" fillId="0" borderId="25" applyNumberFormat="0" applyFill="0" applyAlignment="0" applyProtection="0"/>
    <xf numFmtId="0" fontId="66" fillId="0" borderId="26" applyNumberFormat="0" applyFill="0" applyAlignment="0" applyProtection="0"/>
    <xf numFmtId="0" fontId="67" fillId="0" borderId="27" applyNumberFormat="0" applyFill="0" applyAlignment="0" applyProtection="0"/>
    <xf numFmtId="0" fontId="67" fillId="0" borderId="0" applyNumberFormat="0" applyFill="0" applyBorder="0" applyAlignment="0" applyProtection="0"/>
    <xf numFmtId="38" fontId="23" fillId="0" borderId="28">
      <alignment vertical="center"/>
    </xf>
    <xf numFmtId="0" fontId="2" fillId="0" borderId="0" applyFont="0" applyFill="0" applyBorder="0" applyAlignment="0" applyProtection="0"/>
    <xf numFmtId="0" fontId="2" fillId="0" borderId="0" applyFont="0" applyFill="0" applyBorder="0" applyAlignment="0" applyProtection="0"/>
    <xf numFmtId="216" fontId="7" fillId="0" borderId="0"/>
    <xf numFmtId="217" fontId="12" fillId="0" borderId="16"/>
    <xf numFmtId="0" fontId="68" fillId="0" borderId="0">
      <protection locked="0"/>
    </xf>
    <xf numFmtId="218" fontId="57" fillId="0" borderId="0"/>
    <xf numFmtId="219" fontId="12" fillId="0" borderId="0"/>
    <xf numFmtId="3" fontId="40" fillId="0" borderId="0">
      <alignment horizontal="right"/>
    </xf>
    <xf numFmtId="173" fontId="69" fillId="0" borderId="0" applyFont="0" applyFill="0" applyBorder="0" applyAlignment="0" applyProtection="0"/>
    <xf numFmtId="175" fontId="69" fillId="0" borderId="0" applyFont="0" applyFill="0" applyBorder="0" applyAlignment="0" applyProtection="0"/>
    <xf numFmtId="173" fontId="69" fillId="0" borderId="0" applyFont="0" applyFill="0" applyBorder="0" applyAlignment="0" applyProtection="0"/>
    <xf numFmtId="41" fontId="69" fillId="0" borderId="0" applyFont="0" applyFill="0" applyBorder="0" applyAlignment="0" applyProtection="0"/>
    <xf numFmtId="220" fontId="2" fillId="0" borderId="0" applyFont="0" applyFill="0" applyBorder="0" applyAlignment="0" applyProtection="0"/>
    <xf numFmtId="220" fontId="2" fillId="0" borderId="0" applyFont="0" applyFill="0" applyBorder="0" applyAlignment="0" applyProtection="0"/>
    <xf numFmtId="220" fontId="2" fillId="0" borderId="0" applyFont="0" applyFill="0" applyBorder="0" applyAlignment="0" applyProtection="0"/>
    <xf numFmtId="220" fontId="2" fillId="0" borderId="0" applyFont="0" applyFill="0" applyBorder="0" applyAlignment="0" applyProtection="0"/>
    <xf numFmtId="173" fontId="69" fillId="0" borderId="0" applyFont="0" applyFill="0" applyBorder="0" applyAlignment="0" applyProtection="0"/>
    <xf numFmtId="173" fontId="69" fillId="0" borderId="0" applyFont="0" applyFill="0" applyBorder="0" applyAlignment="0" applyProtection="0"/>
    <xf numFmtId="220" fontId="2" fillId="0" borderId="0" applyFont="0" applyFill="0" applyBorder="0" applyAlignment="0" applyProtection="0"/>
    <xf numFmtId="220" fontId="2" fillId="0" borderId="0" applyFont="0" applyFill="0" applyBorder="0" applyAlignment="0" applyProtection="0"/>
    <xf numFmtId="221" fontId="7" fillId="0" borderId="0" applyFont="0" applyFill="0" applyBorder="0" applyAlignment="0" applyProtection="0"/>
    <xf numFmtId="221" fontId="7" fillId="0" borderId="0" applyFont="0" applyFill="0" applyBorder="0" applyAlignment="0" applyProtection="0"/>
    <xf numFmtId="222" fontId="7" fillId="0" borderId="0" applyFont="0" applyFill="0" applyBorder="0" applyAlignment="0" applyProtection="0"/>
    <xf numFmtId="222" fontId="7"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173" fontId="69" fillId="0" borderId="0" applyFont="0" applyFill="0" applyBorder="0" applyAlignment="0" applyProtection="0"/>
    <xf numFmtId="41" fontId="69" fillId="0" borderId="0" applyFont="0" applyFill="0" applyBorder="0" applyAlignment="0" applyProtection="0"/>
    <xf numFmtId="173" fontId="69"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175" fontId="69" fillId="0" borderId="0" applyFont="0" applyFill="0" applyBorder="0" applyAlignment="0" applyProtection="0"/>
    <xf numFmtId="43" fontId="69" fillId="0" borderId="0" applyFont="0" applyFill="0" applyBorder="0" applyAlignment="0" applyProtection="0"/>
    <xf numFmtId="5" fontId="2" fillId="0" borderId="0" applyFont="0" applyFill="0" applyBorder="0" applyAlignment="0" applyProtection="0"/>
    <xf numFmtId="5" fontId="2" fillId="0" borderId="0" applyFont="0" applyFill="0" applyBorder="0" applyAlignment="0" applyProtection="0"/>
    <xf numFmtId="5" fontId="2" fillId="0" borderId="0" applyFont="0" applyFill="0" applyBorder="0" applyAlignment="0" applyProtection="0"/>
    <xf numFmtId="5" fontId="2" fillId="0" borderId="0" applyFont="0" applyFill="0" applyBorder="0" applyAlignment="0" applyProtection="0"/>
    <xf numFmtId="175" fontId="69" fillId="0" borderId="0" applyFont="0" applyFill="0" applyBorder="0" applyAlignment="0" applyProtection="0"/>
    <xf numFmtId="175" fontId="69" fillId="0" borderId="0" applyFont="0" applyFill="0" applyBorder="0" applyAlignment="0" applyProtection="0"/>
    <xf numFmtId="5" fontId="2" fillId="0" borderId="0" applyFont="0" applyFill="0" applyBorder="0" applyAlignment="0" applyProtection="0"/>
    <xf numFmtId="5" fontId="2" fillId="0" borderId="0" applyFont="0" applyFill="0" applyBorder="0" applyAlignment="0" applyProtection="0"/>
    <xf numFmtId="223" fontId="7" fillId="0" borderId="0" applyFont="0" applyFill="0" applyBorder="0" applyAlignment="0" applyProtection="0"/>
    <xf numFmtId="223"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175" fontId="69" fillId="0" borderId="0" applyFont="0" applyFill="0" applyBorder="0" applyAlignment="0" applyProtection="0"/>
    <xf numFmtId="43" fontId="69" fillId="0" borderId="0" applyFont="0" applyFill="0" applyBorder="0" applyAlignment="0" applyProtection="0"/>
    <xf numFmtId="175"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3" fontId="7" fillId="0" borderId="0" applyFont="0" applyBorder="0" applyAlignment="0"/>
    <xf numFmtId="0" fontId="70" fillId="0" borderId="0">
      <protection locked="0"/>
    </xf>
    <xf numFmtId="0" fontId="70" fillId="0" borderId="0">
      <protection locked="0"/>
    </xf>
    <xf numFmtId="0" fontId="2" fillId="0" borderId="0" applyFill="0" applyBorder="0" applyAlignment="0"/>
    <xf numFmtId="201" fontId="50" fillId="0" borderId="0" applyFill="0" applyBorder="0" applyAlignment="0"/>
    <xf numFmtId="205" fontId="50" fillId="0" borderId="0" applyFill="0" applyBorder="0" applyAlignment="0"/>
    <xf numFmtId="206" fontId="50" fillId="0" borderId="0" applyFill="0" applyBorder="0" applyAlignment="0"/>
    <xf numFmtId="201" fontId="50" fillId="0" borderId="0" applyFill="0" applyBorder="0" applyAlignment="0"/>
    <xf numFmtId="0" fontId="71" fillId="0" borderId="0" applyNumberFormat="0" applyAlignment="0">
      <alignment horizontal="left"/>
    </xf>
    <xf numFmtId="0" fontId="72" fillId="0" borderId="0"/>
    <xf numFmtId="3" fontId="7" fillId="0" borderId="0" applyFont="0" applyBorder="0" applyAlignment="0"/>
    <xf numFmtId="0" fontId="68" fillId="0" borderId="0">
      <protection locked="0"/>
    </xf>
    <xf numFmtId="0" fontId="68" fillId="0" borderId="0">
      <protection locked="0"/>
    </xf>
    <xf numFmtId="0" fontId="68" fillId="0" borderId="0">
      <protection locked="0"/>
    </xf>
    <xf numFmtId="0" fontId="68" fillId="0" borderId="0">
      <protection locked="0"/>
    </xf>
    <xf numFmtId="0" fontId="68" fillId="0" borderId="0">
      <protection locked="0"/>
    </xf>
    <xf numFmtId="0" fontId="68" fillId="0" borderId="0">
      <protection locked="0"/>
    </xf>
    <xf numFmtId="0" fontId="68" fillId="0" borderId="0">
      <protection locked="0"/>
    </xf>
    <xf numFmtId="0" fontId="68" fillId="0" borderId="0">
      <protection locked="0"/>
    </xf>
    <xf numFmtId="0" fontId="68" fillId="0" borderId="0">
      <protection locked="0"/>
    </xf>
    <xf numFmtId="2" fontId="2" fillId="0" borderId="0" applyFont="0" applyFill="0" applyBorder="0" applyAlignment="0" applyProtection="0"/>
    <xf numFmtId="0" fontId="73" fillId="0" borderId="0" applyNumberFormat="0" applyFill="0" applyBorder="0" applyProtection="0"/>
    <xf numFmtId="0" fontId="74" fillId="0" borderId="0" applyNumberFormat="0" applyFill="0" applyBorder="0" applyProtection="0">
      <alignment vertical="center"/>
    </xf>
    <xf numFmtId="0" fontId="75" fillId="0" borderId="0" applyNumberFormat="0" applyFill="0" applyBorder="0" applyAlignment="0" applyProtection="0"/>
    <xf numFmtId="0" fontId="76" fillId="0" borderId="0" applyNumberFormat="0" applyFill="0" applyBorder="0" applyProtection="0">
      <alignment vertical="center"/>
    </xf>
    <xf numFmtId="0" fontId="77" fillId="0" borderId="0" applyNumberFormat="0" applyFill="0" applyBorder="0" applyAlignment="0" applyProtection="0"/>
    <xf numFmtId="0" fontId="75" fillId="0" borderId="0" applyNumberFormat="0" applyFill="0" applyBorder="0" applyAlignment="0" applyProtection="0"/>
    <xf numFmtId="225" fontId="78" fillId="0" borderId="29" applyNumberFormat="0" applyFill="0" applyBorder="0" applyAlignment="0" applyProtection="0"/>
    <xf numFmtId="0" fontId="79" fillId="0" borderId="0" applyNumberFormat="0" applyFill="0" applyBorder="0" applyAlignment="0" applyProtection="0"/>
    <xf numFmtId="0" fontId="80" fillId="21" borderId="30" applyNumberFormat="0" applyAlignment="0">
      <protection locked="0"/>
    </xf>
    <xf numFmtId="0" fontId="2" fillId="22" borderId="31" applyNumberFormat="0" applyFont="0" applyAlignment="0" applyProtection="0"/>
    <xf numFmtId="0" fontId="81" fillId="0" borderId="0">
      <alignment vertical="top" wrapText="1"/>
    </xf>
    <xf numFmtId="38" fontId="82" fillId="23" borderId="0" applyNumberFormat="0" applyBorder="0" applyAlignment="0" applyProtection="0"/>
    <xf numFmtId="226" fontId="4" fillId="4" borderId="0" applyBorder="0" applyProtection="0"/>
    <xf numFmtId="0" fontId="83" fillId="0" borderId="32" applyNumberFormat="0" applyFill="0" applyBorder="0" applyAlignment="0" applyProtection="0">
      <alignment horizontal="center" vertical="center"/>
    </xf>
    <xf numFmtId="0" fontId="84" fillId="0" borderId="0" applyNumberFormat="0" applyFont="0" applyBorder="0" applyAlignment="0">
      <alignment horizontal="left" vertical="center"/>
    </xf>
    <xf numFmtId="0" fontId="85" fillId="24" borderId="0"/>
    <xf numFmtId="0" fontId="86" fillId="0" borderId="0">
      <alignment horizontal="left"/>
    </xf>
    <xf numFmtId="0" fontId="87" fillId="0" borderId="33" applyNumberFormat="0" applyAlignment="0" applyProtection="0">
      <alignment horizontal="left" vertical="center"/>
    </xf>
    <xf numFmtId="0" fontId="87" fillId="0" borderId="2">
      <alignment horizontal="left" vertical="center"/>
    </xf>
    <xf numFmtId="227" fontId="9" fillId="0" borderId="0">
      <protection locked="0"/>
    </xf>
    <xf numFmtId="227" fontId="9" fillId="0" borderId="0">
      <protection locked="0"/>
    </xf>
    <xf numFmtId="0" fontId="88" fillId="0" borderId="34">
      <alignment horizontal="center"/>
    </xf>
    <xf numFmtId="0" fontId="88" fillId="0" borderId="0">
      <alignment horizontal="center"/>
    </xf>
    <xf numFmtId="5" fontId="89" fillId="25" borderId="16" applyNumberFormat="0" applyAlignment="0">
      <alignment horizontal="left" vertical="top"/>
    </xf>
    <xf numFmtId="0" fontId="90" fillId="0" borderId="0"/>
    <xf numFmtId="49" fontId="91" fillId="0" borderId="16">
      <alignment vertical="center"/>
    </xf>
    <xf numFmtId="0" fontId="14" fillId="0" borderId="0"/>
    <xf numFmtId="173" fontId="7" fillId="0" borderId="0" applyFont="0" applyFill="0" applyBorder="0" applyAlignment="0" applyProtection="0"/>
    <xf numFmtId="38" fontId="23" fillId="0" borderId="0" applyFont="0" applyFill="0" applyBorder="0" applyAlignment="0" applyProtection="0"/>
    <xf numFmtId="41" fontId="21" fillId="0" borderId="0" applyFont="0" applyFill="0" applyBorder="0" applyAlignment="0" applyProtection="0"/>
    <xf numFmtId="228" fontId="92" fillId="0" borderId="0" applyFont="0" applyFill="0" applyBorder="0" applyAlignment="0" applyProtection="0"/>
    <xf numFmtId="10" fontId="82" fillId="23" borderId="16" applyNumberFormat="0" applyBorder="0" applyAlignment="0" applyProtection="0"/>
    <xf numFmtId="2" fontId="93" fillId="0" borderId="4" applyBorder="0"/>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173" fontId="7" fillId="0" borderId="0" applyFont="0" applyFill="0" applyBorder="0" applyAlignment="0" applyProtection="0"/>
    <xf numFmtId="0" fontId="7" fillId="0" borderId="0"/>
    <xf numFmtId="2" fontId="97" fillId="0" borderId="1" applyBorder="0"/>
    <xf numFmtId="0" fontId="42" fillId="0" borderId="35">
      <alignment horizontal="centerContinuous"/>
    </xf>
    <xf numFmtId="0" fontId="98" fillId="26" borderId="36" applyNumberFormat="0" applyAlignment="0" applyProtection="0"/>
    <xf numFmtId="0" fontId="99" fillId="0" borderId="37">
      <alignment horizontal="center" vertical="center" wrapText="1"/>
    </xf>
    <xf numFmtId="0" fontId="23" fillId="0" borderId="0"/>
    <xf numFmtId="0" fontId="14" fillId="0" borderId="0" applyNumberFormat="0" applyFont="0" applyFill="0" applyBorder="0" applyProtection="0">
      <alignment horizontal="left" vertical="center"/>
    </xf>
    <xf numFmtId="0" fontId="23" fillId="0" borderId="0"/>
    <xf numFmtId="0" fontId="2" fillId="0" borderId="0" applyFill="0" applyBorder="0" applyAlignment="0"/>
    <xf numFmtId="201" fontId="50" fillId="0" borderId="0" applyFill="0" applyBorder="0" applyAlignment="0"/>
    <xf numFmtId="205" fontId="50" fillId="0" borderId="0" applyFill="0" applyBorder="0" applyAlignment="0"/>
    <xf numFmtId="206" fontId="50" fillId="0" borderId="0" applyFill="0" applyBorder="0" applyAlignment="0"/>
    <xf numFmtId="201" fontId="50" fillId="0" borderId="0" applyFill="0" applyBorder="0" applyAlignment="0"/>
    <xf numFmtId="215" fontId="100" fillId="0" borderId="17" applyNumberFormat="0" applyFont="0" applyFill="0" applyBorder="0">
      <alignment horizontal="center"/>
    </xf>
    <xf numFmtId="38" fontId="23" fillId="0" borderId="0" applyFont="0" applyFill="0" applyBorder="0" applyAlignment="0" applyProtection="0"/>
    <xf numFmtId="4" fontId="50" fillId="0" borderId="0" applyFont="0" applyFill="0" applyBorder="0" applyAlignment="0" applyProtection="0"/>
    <xf numFmtId="176" fontId="14" fillId="0" borderId="0" applyFont="0" applyFill="0" applyBorder="0" applyAlignment="0" applyProtection="0"/>
    <xf numFmtId="40" fontId="23" fillId="0" borderId="0" applyFont="0" applyFill="0" applyBorder="0" applyAlignment="0" applyProtection="0"/>
    <xf numFmtId="173" fontId="2" fillId="0" borderId="0" applyFont="0" applyFill="0" applyBorder="0" applyAlignment="0" applyProtection="0"/>
    <xf numFmtId="175" fontId="2" fillId="0" borderId="0" applyFont="0" applyFill="0" applyBorder="0" applyAlignment="0" applyProtection="0"/>
    <xf numFmtId="0" fontId="101" fillId="0" borderId="34"/>
    <xf numFmtId="229" fontId="102" fillId="0" borderId="17"/>
    <xf numFmtId="230" fontId="23" fillId="0" borderId="0" applyFont="0" applyFill="0" applyBorder="0" applyAlignment="0" applyProtection="0"/>
    <xf numFmtId="231" fontId="23" fillId="0" borderId="0" applyFont="0" applyFill="0" applyBorder="0" applyAlignment="0" applyProtection="0"/>
    <xf numFmtId="232" fontId="2" fillId="0" borderId="0" applyFont="0" applyFill="0" applyBorder="0" applyAlignment="0" applyProtection="0"/>
    <xf numFmtId="233" fontId="2" fillId="0" borderId="0" applyFont="0" applyFill="0" applyBorder="0" applyAlignment="0" applyProtection="0"/>
    <xf numFmtId="0" fontId="61" fillId="0" borderId="0" applyNumberFormat="0" applyFont="0" applyFill="0" applyAlignment="0"/>
    <xf numFmtId="0" fontId="46" fillId="0" borderId="16"/>
    <xf numFmtId="0" fontId="14" fillId="0" borderId="0"/>
    <xf numFmtId="0" fontId="12" fillId="0" borderId="18" applyNumberFormat="0" applyAlignment="0">
      <alignment horizontal="center"/>
    </xf>
    <xf numFmtId="0" fontId="39"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30" borderId="0" applyNumberFormat="0" applyBorder="0" applyAlignment="0" applyProtection="0"/>
    <xf numFmtId="37" fontId="103" fillId="0" borderId="0"/>
    <xf numFmtId="0" fontId="104" fillId="0" borderId="16" applyNumberFormat="0" applyFont="0" applyFill="0" applyBorder="0" applyAlignment="0">
      <alignment horizontal="center"/>
    </xf>
    <xf numFmtId="0" fontId="105" fillId="0" borderId="0"/>
    <xf numFmtId="234" fontId="106" fillId="0" borderId="0"/>
    <xf numFmtId="0" fontId="107" fillId="0" borderId="0"/>
    <xf numFmtId="0" fontId="56" fillId="0" borderId="0"/>
    <xf numFmtId="0" fontId="3" fillId="0" borderId="0"/>
    <xf numFmtId="0" fontId="1" fillId="0" borderId="0"/>
    <xf numFmtId="0" fontId="3" fillId="0" borderId="0"/>
    <xf numFmtId="0" fontId="3" fillId="0" borderId="0"/>
    <xf numFmtId="0" fontId="2" fillId="0" borderId="0"/>
    <xf numFmtId="0" fontId="3" fillId="0" borderId="0"/>
    <xf numFmtId="0" fontId="1" fillId="0" borderId="0"/>
    <xf numFmtId="0" fontId="2" fillId="0" borderId="0"/>
    <xf numFmtId="0" fontId="2" fillId="0" borderId="0"/>
    <xf numFmtId="0" fontId="2" fillId="0" borderId="0"/>
    <xf numFmtId="0" fontId="2" fillId="0" borderId="0"/>
    <xf numFmtId="0" fontId="108" fillId="0" borderId="0" applyNumberFormat="0" applyFill="0" applyBorder="0" applyProtection="0">
      <alignment vertical="top"/>
    </xf>
    <xf numFmtId="0" fontId="7" fillId="0" borderId="0"/>
    <xf numFmtId="0" fontId="3" fillId="0" borderId="0"/>
    <xf numFmtId="0" fontId="2" fillId="0" borderId="0"/>
    <xf numFmtId="0" fontId="9" fillId="0" borderId="0"/>
    <xf numFmtId="0" fontId="7" fillId="0" borderId="0"/>
    <xf numFmtId="0" fontId="28" fillId="0" borderId="0" applyFont="0"/>
    <xf numFmtId="0" fontId="110" fillId="0" borderId="0">
      <alignment horizontal="left" vertical="top"/>
    </xf>
    <xf numFmtId="0" fontId="50" fillId="23" borderId="0"/>
    <xf numFmtId="0" fontId="69" fillId="0" borderId="0"/>
    <xf numFmtId="235" fontId="111" fillId="0" borderId="0" applyFont="0" applyFill="0" applyBorder="0" applyProtection="0">
      <alignment vertical="top" wrapText="1"/>
    </xf>
    <xf numFmtId="0" fontId="112" fillId="0" borderId="38" applyNumberFormat="0" applyFill="0" applyAlignment="0" applyProtection="0"/>
    <xf numFmtId="0" fontId="12" fillId="0" borderId="0"/>
    <xf numFmtId="175" fontId="26" fillId="0" borderId="0" applyFont="0" applyFill="0" applyBorder="0" applyAlignment="0" applyProtection="0"/>
    <xf numFmtId="173" fontId="26" fillId="0" borderId="0" applyFon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46" fillId="0" borderId="0" applyNumberFormat="0" applyFill="0" applyBorder="0" applyAlignment="0" applyProtection="0"/>
    <xf numFmtId="0" fontId="7" fillId="0" borderId="0" applyNumberFormat="0" applyFill="0" applyBorder="0" applyAlignment="0" applyProtection="0"/>
    <xf numFmtId="0" fontId="2" fillId="0" borderId="0" applyFont="0" applyFill="0" applyBorder="0" applyAlignment="0" applyProtection="0"/>
    <xf numFmtId="0" fontId="14" fillId="0" borderId="0"/>
    <xf numFmtId="180" fontId="114" fillId="0" borderId="18" applyFont="0" applyBorder="0" applyAlignment="0"/>
    <xf numFmtId="41" fontId="2" fillId="0" borderId="0" applyFont="0" applyFill="0" applyBorder="0" applyAlignment="0" applyProtection="0"/>
    <xf numFmtId="14" fontId="42" fillId="0" borderId="0">
      <alignment horizontal="center" wrapText="1"/>
      <protection locked="0"/>
    </xf>
    <xf numFmtId="204" fontId="2" fillId="0" borderId="0" applyFont="0" applyFill="0" applyBorder="0" applyAlignment="0" applyProtection="0"/>
    <xf numFmtId="236"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3" fillId="0" borderId="39" applyNumberFormat="0" applyBorder="0"/>
    <xf numFmtId="0" fontId="2" fillId="0" borderId="0"/>
    <xf numFmtId="0" fontId="2" fillId="0" borderId="0" applyFill="0" applyBorder="0" applyAlignment="0"/>
    <xf numFmtId="201" fontId="50" fillId="0" borderId="0" applyFill="0" applyBorder="0" applyAlignment="0"/>
    <xf numFmtId="205" fontId="50" fillId="0" borderId="0" applyFill="0" applyBorder="0" applyAlignment="0"/>
    <xf numFmtId="206" fontId="50" fillId="0" borderId="0" applyFill="0" applyBorder="0" applyAlignment="0"/>
    <xf numFmtId="201" fontId="50" fillId="0" borderId="0" applyFill="0" applyBorder="0" applyAlignment="0"/>
    <xf numFmtId="0" fontId="115" fillId="0" borderId="0"/>
    <xf numFmtId="0" fontId="23" fillId="0" borderId="0" applyNumberFormat="0" applyFont="0" applyFill="0" applyBorder="0" applyAlignment="0" applyProtection="0">
      <alignment horizontal="left"/>
    </xf>
    <xf numFmtId="0" fontId="116" fillId="0" borderId="34">
      <alignment horizontal="center"/>
    </xf>
    <xf numFmtId="1" fontId="2" fillId="0" borderId="5" applyNumberFormat="0" applyFill="0" applyAlignment="0" applyProtection="0">
      <alignment horizontal="center" vertical="center"/>
    </xf>
    <xf numFmtId="0" fontId="117" fillId="31" borderId="0" applyNumberFormat="0" applyFont="0" applyBorder="0" applyAlignment="0">
      <alignment horizontal="center"/>
    </xf>
    <xf numFmtId="14" fontId="118" fillId="0" borderId="0" applyNumberFormat="0" applyFill="0" applyBorder="0" applyAlignment="0" applyProtection="0">
      <alignment horizontal="left"/>
    </xf>
    <xf numFmtId="0" fontId="95" fillId="0" borderId="0" applyNumberFormat="0" applyFill="0" applyBorder="0" applyAlignment="0" applyProtection="0">
      <alignment vertical="top"/>
      <protection locked="0"/>
    </xf>
    <xf numFmtId="0" fontId="12" fillId="0" borderId="0"/>
    <xf numFmtId="41" fontId="21" fillId="0" borderId="0" applyFont="0" applyFill="0" applyBorder="0" applyAlignment="0" applyProtection="0"/>
    <xf numFmtId="0" fontId="7" fillId="0" borderId="0" applyNumberFormat="0" applyFill="0" applyBorder="0" applyAlignment="0" applyProtection="0"/>
    <xf numFmtId="4" fontId="119" fillId="32" borderId="40" applyNumberFormat="0" applyProtection="0">
      <alignment vertical="center"/>
    </xf>
    <xf numFmtId="4" fontId="120" fillId="32" borderId="40" applyNumberFormat="0" applyProtection="0">
      <alignment vertical="center"/>
    </xf>
    <xf numFmtId="4" fontId="121" fillId="32" borderId="40" applyNumberFormat="0" applyProtection="0">
      <alignment horizontal="left" vertical="center" indent="1"/>
    </xf>
    <xf numFmtId="4" fontId="121" fillId="33" borderId="0" applyNumberFormat="0" applyProtection="0">
      <alignment horizontal="left" vertical="center" indent="1"/>
    </xf>
    <xf numFmtId="4" fontId="121" fillId="34" borderId="40" applyNumberFormat="0" applyProtection="0">
      <alignment horizontal="right" vertical="center"/>
    </xf>
    <xf numFmtId="4" fontId="121" fillId="35" borderId="40" applyNumberFormat="0" applyProtection="0">
      <alignment horizontal="right" vertical="center"/>
    </xf>
    <xf numFmtId="4" fontId="121" fillId="36" borderId="40" applyNumberFormat="0" applyProtection="0">
      <alignment horizontal="right" vertical="center"/>
    </xf>
    <xf numFmtId="4" fontId="121" fillId="37" borderId="40" applyNumberFormat="0" applyProtection="0">
      <alignment horizontal="right" vertical="center"/>
    </xf>
    <xf numFmtId="4" fontId="121" fillId="38" borderId="40" applyNumberFormat="0" applyProtection="0">
      <alignment horizontal="right" vertical="center"/>
    </xf>
    <xf numFmtId="4" fontId="121" fillId="39" borderId="40" applyNumberFormat="0" applyProtection="0">
      <alignment horizontal="right" vertical="center"/>
    </xf>
    <xf numFmtId="4" fontId="121" fillId="40" borderId="40" applyNumberFormat="0" applyProtection="0">
      <alignment horizontal="right" vertical="center"/>
    </xf>
    <xf numFmtId="4" fontId="121" fillId="41" borderId="40" applyNumberFormat="0" applyProtection="0">
      <alignment horizontal="right" vertical="center"/>
    </xf>
    <xf numFmtId="4" fontId="121" fillId="42" borderId="40" applyNumberFormat="0" applyProtection="0">
      <alignment horizontal="right" vertical="center"/>
    </xf>
    <xf numFmtId="4" fontId="119" fillId="43" borderId="41" applyNumberFormat="0" applyProtection="0">
      <alignment horizontal="left" vertical="center" indent="1"/>
    </xf>
    <xf numFmtId="4" fontId="119" fillId="44" borderId="0" applyNumberFormat="0" applyProtection="0">
      <alignment horizontal="left" vertical="center" indent="1"/>
    </xf>
    <xf numFmtId="4" fontId="119" fillId="33" borderId="0" applyNumberFormat="0" applyProtection="0">
      <alignment horizontal="left" vertical="center" indent="1"/>
    </xf>
    <xf numFmtId="4" fontId="121" fillId="44" borderId="40" applyNumberFormat="0" applyProtection="0">
      <alignment horizontal="right" vertical="center"/>
    </xf>
    <xf numFmtId="4" fontId="22" fillId="44" borderId="0" applyNumberFormat="0" applyProtection="0">
      <alignment horizontal="left" vertical="center" indent="1"/>
    </xf>
    <xf numFmtId="4" fontId="22" fillId="33" borderId="0" applyNumberFormat="0" applyProtection="0">
      <alignment horizontal="left" vertical="center" indent="1"/>
    </xf>
    <xf numFmtId="4" fontId="121" fillId="45" borderId="40" applyNumberFormat="0" applyProtection="0">
      <alignment vertical="center"/>
    </xf>
    <xf numFmtId="4" fontId="122" fillId="45" borderId="40" applyNumberFormat="0" applyProtection="0">
      <alignment vertical="center"/>
    </xf>
    <xf numFmtId="4" fontId="119" fillId="44" borderId="42" applyNumberFormat="0" applyProtection="0">
      <alignment horizontal="left" vertical="center" indent="1"/>
    </xf>
    <xf numFmtId="4" fontId="121" fillId="45" borderId="40" applyNumberFormat="0" applyProtection="0">
      <alignment horizontal="right" vertical="center"/>
    </xf>
    <xf numFmtId="4" fontId="122" fillId="45" borderId="40" applyNumberFormat="0" applyProtection="0">
      <alignment horizontal="right" vertical="center"/>
    </xf>
    <xf numFmtId="4" fontId="119" fillId="44" borderId="40" applyNumberFormat="0" applyProtection="0">
      <alignment horizontal="left" vertical="center" indent="1"/>
    </xf>
    <xf numFmtId="4" fontId="123" fillId="25" borderId="42" applyNumberFormat="0" applyProtection="0">
      <alignment horizontal="left" vertical="center" indent="1"/>
    </xf>
    <xf numFmtId="4" fontId="124" fillId="45" borderId="40" applyNumberFormat="0" applyProtection="0">
      <alignment horizontal="right" vertical="center"/>
    </xf>
    <xf numFmtId="237" fontId="125" fillId="0" borderId="0" applyFont="0" applyFill="0" applyBorder="0" applyAlignment="0" applyProtection="0"/>
    <xf numFmtId="0" fontId="117" fillId="1" borderId="2" applyNumberFormat="0" applyFont="0" applyAlignment="0">
      <alignment horizontal="center"/>
    </xf>
    <xf numFmtId="4" fontId="2" fillId="0" borderId="5" applyBorder="0"/>
    <xf numFmtId="2" fontId="2" fillId="0" borderId="5"/>
    <xf numFmtId="3" fontId="9" fillId="0" borderId="0"/>
    <xf numFmtId="0" fontId="126" fillId="0" borderId="0" applyNumberFormat="0" applyFill="0" applyBorder="0" applyAlignment="0">
      <alignment horizontal="center"/>
    </xf>
    <xf numFmtId="1" fontId="2" fillId="0" borderId="0"/>
    <xf numFmtId="180" fontId="127" fillId="0" borderId="0" applyNumberFormat="0" applyBorder="0" applyAlignment="0">
      <alignment horizontal="centerContinuous"/>
    </xf>
    <xf numFmtId="0" fontId="13" fillId="0" borderId="0"/>
    <xf numFmtId="180" fontId="52"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80" fontId="52" fillId="0" borderId="0" applyFont="0" applyFill="0" applyBorder="0" applyAlignment="0" applyProtection="0"/>
    <xf numFmtId="180" fontId="52"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187" fontId="21" fillId="0" borderId="0" applyFont="0" applyFill="0" applyBorder="0" applyAlignment="0" applyProtection="0"/>
    <xf numFmtId="180" fontId="52"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2" fontId="21" fillId="0" borderId="0" applyFont="0" applyFill="0" applyBorder="0" applyAlignment="0" applyProtection="0"/>
    <xf numFmtId="191" fontId="21" fillId="0" borderId="0" applyFont="0" applyFill="0" applyBorder="0" applyAlignment="0" applyProtection="0"/>
    <xf numFmtId="192" fontId="9" fillId="0" borderId="0" applyFont="0" applyFill="0" applyBorder="0" applyAlignment="0" applyProtection="0"/>
    <xf numFmtId="192" fontId="21" fillId="0" borderId="0" applyFont="0" applyFill="0" applyBorder="0" applyAlignment="0" applyProtection="0"/>
    <xf numFmtId="0" fontId="12" fillId="0" borderId="0"/>
    <xf numFmtId="238" fontId="46" fillId="0" borderId="0" applyFont="0" applyFill="0" applyBorder="0" applyAlignment="0" applyProtection="0"/>
    <xf numFmtId="41" fontId="21" fillId="0" borderId="0" applyFont="0" applyFill="0" applyBorder="0" applyAlignment="0" applyProtection="0"/>
    <xf numFmtId="173" fontId="21" fillId="0" borderId="0" applyFont="0" applyFill="0" applyBorder="0" applyAlignment="0" applyProtection="0"/>
    <xf numFmtId="41" fontId="21" fillId="0" borderId="0" applyFont="0" applyFill="0" applyBorder="0" applyAlignment="0" applyProtection="0"/>
    <xf numFmtId="42" fontId="21" fillId="0" borderId="0" applyFont="0" applyFill="0" applyBorder="0" applyAlignment="0" applyProtection="0"/>
    <xf numFmtId="191" fontId="21" fillId="0" borderId="0" applyFont="0" applyFill="0" applyBorder="0" applyAlignment="0" applyProtection="0"/>
    <xf numFmtId="192" fontId="9" fillId="0" borderId="0" applyFont="0" applyFill="0" applyBorder="0" applyAlignment="0" applyProtection="0"/>
    <xf numFmtId="192" fontId="21" fillId="0" borderId="0" applyFont="0" applyFill="0" applyBorder="0" applyAlignment="0" applyProtection="0"/>
    <xf numFmtId="176" fontId="21" fillId="0" borderId="0" applyFont="0" applyFill="0" applyBorder="0" applyAlignment="0" applyProtection="0"/>
    <xf numFmtId="0" fontId="12" fillId="0" borderId="0"/>
    <xf numFmtId="238" fontId="46" fillId="0" borderId="0" applyFont="0" applyFill="0" applyBorder="0" applyAlignment="0" applyProtection="0"/>
    <xf numFmtId="41" fontId="21" fillId="0" borderId="0" applyFont="0" applyFill="0" applyBorder="0" applyAlignment="0" applyProtection="0"/>
    <xf numFmtId="187"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14" fontId="128" fillId="0" borderId="0"/>
    <xf numFmtId="0" fontId="129" fillId="0" borderId="0"/>
    <xf numFmtId="0" fontId="101" fillId="0" borderId="0"/>
    <xf numFmtId="40" fontId="130" fillId="0" borderId="0" applyBorder="0">
      <alignment horizontal="right"/>
    </xf>
    <xf numFmtId="0" fontId="131" fillId="0" borderId="0"/>
    <xf numFmtId="239" fontId="46" fillId="0" borderId="4">
      <alignment horizontal="right" vertical="center"/>
    </xf>
    <xf numFmtId="239" fontId="46" fillId="0" borderId="4">
      <alignment horizontal="right" vertical="center"/>
    </xf>
    <xf numFmtId="172" fontId="132" fillId="0" borderId="4">
      <alignment horizontal="right" vertical="center"/>
    </xf>
    <xf numFmtId="170" fontId="40" fillId="0" borderId="4">
      <alignment horizontal="right" vertical="center"/>
    </xf>
    <xf numFmtId="239" fontId="46" fillId="0" borderId="4">
      <alignment horizontal="right" vertical="center"/>
    </xf>
    <xf numFmtId="239" fontId="46" fillId="0" borderId="4">
      <alignment horizontal="right" vertical="center"/>
    </xf>
    <xf numFmtId="239" fontId="46" fillId="0" borderId="4">
      <alignment horizontal="right" vertical="center"/>
    </xf>
    <xf numFmtId="239" fontId="46" fillId="0" borderId="4">
      <alignment horizontal="right" vertical="center"/>
    </xf>
    <xf numFmtId="239" fontId="46" fillId="0" borderId="4">
      <alignment horizontal="right" vertical="center"/>
    </xf>
    <xf numFmtId="170" fontId="40" fillId="0" borderId="4">
      <alignment horizontal="right" vertical="center"/>
    </xf>
    <xf numFmtId="170" fontId="40" fillId="0" borderId="4">
      <alignment horizontal="right" vertical="center"/>
    </xf>
    <xf numFmtId="170" fontId="40" fillId="0" borderId="4">
      <alignment horizontal="right" vertical="center"/>
    </xf>
    <xf numFmtId="170" fontId="40" fillId="0" borderId="4">
      <alignment horizontal="right" vertical="center"/>
    </xf>
    <xf numFmtId="170" fontId="40" fillId="0" borderId="4">
      <alignment horizontal="right" vertical="center"/>
    </xf>
    <xf numFmtId="240" fontId="2" fillId="0" borderId="4">
      <alignment horizontal="right" vertical="center"/>
    </xf>
    <xf numFmtId="241" fontId="21" fillId="0" borderId="4">
      <alignment horizontal="right" vertical="center"/>
    </xf>
    <xf numFmtId="174" fontId="12" fillId="0" borderId="4">
      <alignment horizontal="right" vertical="center"/>
    </xf>
    <xf numFmtId="170" fontId="40" fillId="0" borderId="4">
      <alignment horizontal="right" vertical="center"/>
    </xf>
    <xf numFmtId="170" fontId="40" fillId="0" borderId="4">
      <alignment horizontal="right" vertical="center"/>
    </xf>
    <xf numFmtId="174" fontId="12" fillId="0" borderId="4">
      <alignment horizontal="right" vertical="center"/>
    </xf>
    <xf numFmtId="242" fontId="7" fillId="0" borderId="4">
      <alignment horizontal="right" vertical="center"/>
    </xf>
    <xf numFmtId="243" fontId="7" fillId="0" borderId="4">
      <alignment horizontal="right" vertical="center"/>
    </xf>
    <xf numFmtId="244" fontId="7" fillId="0" borderId="4">
      <alignment horizontal="right" vertical="center"/>
    </xf>
    <xf numFmtId="244" fontId="7" fillId="0" borderId="4">
      <alignment horizontal="right" vertical="center"/>
    </xf>
    <xf numFmtId="243" fontId="7" fillId="0" borderId="4">
      <alignment horizontal="right" vertical="center"/>
    </xf>
    <xf numFmtId="174" fontId="12" fillId="0" borderId="4">
      <alignment horizontal="right" vertical="center"/>
    </xf>
    <xf numFmtId="242" fontId="7" fillId="0" borderId="4">
      <alignment horizontal="right" vertical="center"/>
    </xf>
    <xf numFmtId="174" fontId="12" fillId="0" borderId="4">
      <alignment horizontal="right" vertical="center"/>
    </xf>
    <xf numFmtId="170" fontId="40" fillId="0" borderId="4">
      <alignment horizontal="right" vertical="center"/>
    </xf>
    <xf numFmtId="170" fontId="40" fillId="0" borderId="4">
      <alignment horizontal="right" vertical="center"/>
    </xf>
    <xf numFmtId="239" fontId="46" fillId="0" borderId="4">
      <alignment horizontal="right" vertical="center"/>
    </xf>
    <xf numFmtId="174" fontId="12" fillId="0" borderId="4">
      <alignment horizontal="right" vertical="center"/>
    </xf>
    <xf numFmtId="239" fontId="46" fillId="0" borderId="4">
      <alignment horizontal="right" vertical="center"/>
    </xf>
    <xf numFmtId="239" fontId="46" fillId="0" borderId="4">
      <alignment horizontal="right" vertical="center"/>
    </xf>
    <xf numFmtId="239" fontId="46" fillId="0" borderId="4">
      <alignment horizontal="right" vertical="center"/>
    </xf>
    <xf numFmtId="239" fontId="46" fillId="0" borderId="4">
      <alignment horizontal="right" vertical="center"/>
    </xf>
    <xf numFmtId="239" fontId="46" fillId="0" borderId="4">
      <alignment horizontal="right" vertical="center"/>
    </xf>
    <xf numFmtId="243" fontId="7" fillId="0" borderId="4">
      <alignment horizontal="right" vertical="center"/>
    </xf>
    <xf numFmtId="241" fontId="21" fillId="0" borderId="4">
      <alignment horizontal="right" vertical="center"/>
    </xf>
    <xf numFmtId="243" fontId="7" fillId="0" borderId="4">
      <alignment horizontal="right" vertical="center"/>
    </xf>
    <xf numFmtId="244" fontId="7" fillId="0" borderId="4">
      <alignment horizontal="right" vertical="center"/>
    </xf>
    <xf numFmtId="239" fontId="46" fillId="0" borderId="4">
      <alignment horizontal="right" vertical="center"/>
    </xf>
    <xf numFmtId="239" fontId="46" fillId="0" borderId="4">
      <alignment horizontal="right" vertical="center"/>
    </xf>
    <xf numFmtId="239" fontId="46" fillId="0" borderId="4">
      <alignment horizontal="right" vertical="center"/>
    </xf>
    <xf numFmtId="239" fontId="46" fillId="0" borderId="4">
      <alignment horizontal="right" vertical="center"/>
    </xf>
    <xf numFmtId="239" fontId="46" fillId="0" borderId="4">
      <alignment horizontal="right" vertical="center"/>
    </xf>
    <xf numFmtId="243" fontId="7" fillId="0" borderId="4">
      <alignment horizontal="right" vertical="center"/>
    </xf>
    <xf numFmtId="245" fontId="133" fillId="4" borderId="43" applyFont="0" applyFill="0" applyBorder="0"/>
    <xf numFmtId="243" fontId="7" fillId="0" borderId="4">
      <alignment horizontal="right" vertical="center"/>
    </xf>
    <xf numFmtId="239" fontId="46" fillId="0" borderId="4">
      <alignment horizontal="right" vertical="center"/>
    </xf>
    <xf numFmtId="239" fontId="46" fillId="0" borderId="4">
      <alignment horizontal="right" vertical="center"/>
    </xf>
    <xf numFmtId="169" fontId="46" fillId="0" borderId="4">
      <alignment horizontal="right" vertical="center"/>
    </xf>
    <xf numFmtId="245" fontId="133" fillId="4" borderId="43" applyFont="0" applyFill="0" applyBorder="0"/>
    <xf numFmtId="239" fontId="46" fillId="0" borderId="4">
      <alignment horizontal="right" vertical="center"/>
    </xf>
    <xf numFmtId="239" fontId="46" fillId="0" borderId="4">
      <alignment horizontal="right" vertical="center"/>
    </xf>
    <xf numFmtId="239" fontId="46" fillId="0" borderId="4">
      <alignment horizontal="right" vertical="center"/>
    </xf>
    <xf numFmtId="169" fontId="46" fillId="0" borderId="4">
      <alignment horizontal="right" vertical="center"/>
    </xf>
    <xf numFmtId="242" fontId="7" fillId="0" borderId="4">
      <alignment horizontal="right" vertical="center"/>
    </xf>
    <xf numFmtId="243" fontId="7" fillId="0" borderId="4">
      <alignment horizontal="right" vertical="center"/>
    </xf>
    <xf numFmtId="243" fontId="7" fillId="0" borderId="4">
      <alignment horizontal="right" vertical="center"/>
    </xf>
    <xf numFmtId="241" fontId="21" fillId="0" borderId="4">
      <alignment horizontal="right" vertical="center"/>
    </xf>
    <xf numFmtId="243" fontId="7" fillId="0" borderId="4">
      <alignment horizontal="right" vertical="center"/>
    </xf>
    <xf numFmtId="239" fontId="46" fillId="0" borderId="4">
      <alignment horizontal="right" vertical="center"/>
    </xf>
    <xf numFmtId="242" fontId="7" fillId="0" borderId="4">
      <alignment horizontal="right" vertical="center"/>
    </xf>
    <xf numFmtId="242" fontId="7" fillId="0" borderId="4">
      <alignment horizontal="right" vertical="center"/>
    </xf>
    <xf numFmtId="246" fontId="7" fillId="0" borderId="4">
      <alignment horizontal="right" vertical="center"/>
    </xf>
    <xf numFmtId="170" fontId="40" fillId="0" borderId="4">
      <alignment horizontal="right" vertical="center"/>
    </xf>
    <xf numFmtId="170" fontId="40" fillId="0" borderId="4">
      <alignment horizontal="right" vertical="center"/>
    </xf>
    <xf numFmtId="170" fontId="40" fillId="0" borderId="4">
      <alignment horizontal="right" vertical="center"/>
    </xf>
    <xf numFmtId="170" fontId="40" fillId="0" borderId="4">
      <alignment horizontal="right" vertical="center"/>
    </xf>
    <xf numFmtId="170" fontId="40" fillId="0" borderId="4">
      <alignment horizontal="right" vertical="center"/>
    </xf>
    <xf numFmtId="170" fontId="40" fillId="0" borderId="4">
      <alignment horizontal="right" vertical="center"/>
    </xf>
    <xf numFmtId="170" fontId="40" fillId="0" borderId="4">
      <alignment horizontal="right" vertical="center"/>
    </xf>
    <xf numFmtId="170" fontId="40" fillId="0" borderId="4">
      <alignment horizontal="right" vertical="center"/>
    </xf>
    <xf numFmtId="243" fontId="7" fillId="0" borderId="4">
      <alignment horizontal="right" vertical="center"/>
    </xf>
    <xf numFmtId="244" fontId="7" fillId="0" borderId="4">
      <alignment horizontal="right" vertical="center"/>
    </xf>
    <xf numFmtId="247" fontId="7" fillId="0" borderId="4">
      <alignment horizontal="right" vertical="center"/>
    </xf>
    <xf numFmtId="170" fontId="40" fillId="0" borderId="4">
      <alignment horizontal="right" vertical="center"/>
    </xf>
    <xf numFmtId="170" fontId="40" fillId="0" borderId="4">
      <alignment horizontal="right" vertical="center"/>
    </xf>
    <xf numFmtId="170" fontId="40" fillId="0" borderId="4">
      <alignment horizontal="right" vertical="center"/>
    </xf>
    <xf numFmtId="170" fontId="40" fillId="0" borderId="4">
      <alignment horizontal="right" vertical="center"/>
    </xf>
    <xf numFmtId="170" fontId="40" fillId="0" borderId="4">
      <alignment horizontal="right" vertical="center"/>
    </xf>
    <xf numFmtId="170" fontId="40" fillId="0" borderId="4">
      <alignment horizontal="right" vertical="center"/>
    </xf>
    <xf numFmtId="170" fontId="40" fillId="0" borderId="4">
      <alignment horizontal="right" vertical="center"/>
    </xf>
    <xf numFmtId="245" fontId="133" fillId="4" borderId="43" applyFont="0" applyFill="0" applyBorder="0"/>
    <xf numFmtId="243" fontId="7" fillId="0" borderId="4">
      <alignment horizontal="right" vertical="center"/>
    </xf>
    <xf numFmtId="239" fontId="46" fillId="0" borderId="4">
      <alignment horizontal="right" vertical="center"/>
    </xf>
    <xf numFmtId="239" fontId="46" fillId="0" borderId="4">
      <alignment horizontal="right" vertical="center"/>
    </xf>
    <xf numFmtId="239" fontId="46" fillId="0" borderId="4">
      <alignment horizontal="right" vertical="center"/>
    </xf>
    <xf numFmtId="239" fontId="46" fillId="0" borderId="4">
      <alignment horizontal="right" vertical="center"/>
    </xf>
    <xf numFmtId="239" fontId="46" fillId="0" borderId="4">
      <alignment horizontal="right" vertical="center"/>
    </xf>
    <xf numFmtId="239" fontId="46" fillId="0" borderId="4">
      <alignment horizontal="right" vertical="center"/>
    </xf>
    <xf numFmtId="239" fontId="46" fillId="0" borderId="4">
      <alignment horizontal="right" vertical="center"/>
    </xf>
    <xf numFmtId="239" fontId="46" fillId="0" borderId="4">
      <alignment horizontal="right" vertical="center"/>
    </xf>
    <xf numFmtId="239" fontId="46" fillId="0" borderId="4">
      <alignment horizontal="right" vertical="center"/>
    </xf>
    <xf numFmtId="239" fontId="46" fillId="0" borderId="4">
      <alignment horizontal="right" vertical="center"/>
    </xf>
    <xf numFmtId="239" fontId="46" fillId="0" borderId="4">
      <alignment horizontal="right" vertical="center"/>
    </xf>
    <xf numFmtId="239" fontId="46" fillId="0" borderId="4">
      <alignment horizontal="right" vertical="center"/>
    </xf>
    <xf numFmtId="239" fontId="46" fillId="0" borderId="4">
      <alignment horizontal="right" vertical="center"/>
    </xf>
    <xf numFmtId="239" fontId="46" fillId="0" borderId="4">
      <alignment horizontal="right" vertical="center"/>
    </xf>
    <xf numFmtId="239" fontId="46" fillId="0" borderId="4">
      <alignment horizontal="right" vertical="center"/>
    </xf>
    <xf numFmtId="239" fontId="46" fillId="0" borderId="4">
      <alignment horizontal="right" vertical="center"/>
    </xf>
    <xf numFmtId="239" fontId="46" fillId="0" borderId="4">
      <alignment horizontal="right" vertical="center"/>
    </xf>
    <xf numFmtId="239" fontId="46" fillId="0" borderId="4">
      <alignment horizontal="right" vertical="center"/>
    </xf>
    <xf numFmtId="170" fontId="40" fillId="0" borderId="4">
      <alignment horizontal="right" vertical="center"/>
    </xf>
    <xf numFmtId="170" fontId="40" fillId="0" borderId="4">
      <alignment horizontal="right" vertical="center"/>
    </xf>
    <xf numFmtId="170" fontId="40" fillId="0" borderId="4">
      <alignment horizontal="right" vertical="center"/>
    </xf>
    <xf numFmtId="170" fontId="40" fillId="0" borderId="4">
      <alignment horizontal="right" vertical="center"/>
    </xf>
    <xf numFmtId="170" fontId="40" fillId="0" borderId="4">
      <alignment horizontal="right" vertical="center"/>
    </xf>
    <xf numFmtId="170" fontId="40" fillId="0" borderId="4">
      <alignment horizontal="right" vertical="center"/>
    </xf>
    <xf numFmtId="170" fontId="40" fillId="0" borderId="4">
      <alignment horizontal="right" vertical="center"/>
    </xf>
    <xf numFmtId="170" fontId="40" fillId="0" borderId="4">
      <alignment horizontal="right" vertical="center"/>
    </xf>
    <xf numFmtId="170" fontId="40" fillId="0" borderId="4">
      <alignment horizontal="right" vertical="center"/>
    </xf>
    <xf numFmtId="170" fontId="40" fillId="0" borderId="4">
      <alignment horizontal="right" vertical="center"/>
    </xf>
    <xf numFmtId="248" fontId="40" fillId="0" borderId="4">
      <alignment horizontal="right" vertical="center"/>
    </xf>
    <xf numFmtId="243" fontId="7" fillId="0" borderId="4">
      <alignment horizontal="right" vertical="center"/>
    </xf>
    <xf numFmtId="245" fontId="133" fillId="4" borderId="43" applyFont="0" applyFill="0" applyBorder="0"/>
    <xf numFmtId="245" fontId="133" fillId="4" borderId="43" applyFont="0" applyFill="0" applyBorder="0"/>
    <xf numFmtId="249" fontId="46" fillId="0" borderId="4">
      <alignment horizontal="right" vertical="center"/>
    </xf>
    <xf numFmtId="174" fontId="12" fillId="0" borderId="4">
      <alignment horizontal="right" vertical="center"/>
    </xf>
    <xf numFmtId="170" fontId="40" fillId="0" borderId="4">
      <alignment horizontal="right" vertical="center"/>
    </xf>
    <xf numFmtId="243" fontId="7" fillId="0" borderId="4">
      <alignment horizontal="right" vertical="center"/>
    </xf>
    <xf numFmtId="239" fontId="46" fillId="0" borderId="4">
      <alignment horizontal="right" vertical="center"/>
    </xf>
    <xf numFmtId="239" fontId="46" fillId="0" borderId="4">
      <alignment horizontal="right" vertical="center"/>
    </xf>
    <xf numFmtId="170" fontId="40" fillId="0" borderId="4">
      <alignment horizontal="right" vertical="center"/>
    </xf>
    <xf numFmtId="170" fontId="40" fillId="0" borderId="4">
      <alignment horizontal="right" vertical="center"/>
    </xf>
    <xf numFmtId="170" fontId="40" fillId="0" borderId="4">
      <alignment horizontal="right" vertical="center"/>
    </xf>
    <xf numFmtId="170" fontId="40" fillId="0" borderId="4">
      <alignment horizontal="right" vertical="center"/>
    </xf>
    <xf numFmtId="239" fontId="46" fillId="0" borderId="4">
      <alignment horizontal="right" vertical="center"/>
    </xf>
    <xf numFmtId="245" fontId="133" fillId="4" borderId="43" applyFont="0" applyFill="0" applyBorder="0"/>
    <xf numFmtId="232" fontId="7" fillId="0" borderId="4">
      <alignment horizontal="right" vertical="center"/>
    </xf>
    <xf numFmtId="232" fontId="7" fillId="0" borderId="4">
      <alignment horizontal="right" vertical="center"/>
    </xf>
    <xf numFmtId="232" fontId="7" fillId="0" borderId="4">
      <alignment horizontal="right" vertical="center"/>
    </xf>
    <xf numFmtId="232" fontId="7" fillId="0" borderId="4">
      <alignment horizontal="right" vertical="center"/>
    </xf>
    <xf numFmtId="239" fontId="46" fillId="0" borderId="4">
      <alignment horizontal="right" vertical="center"/>
    </xf>
    <xf numFmtId="172" fontId="132" fillId="0" borderId="4">
      <alignment horizontal="right" vertical="center"/>
    </xf>
    <xf numFmtId="245" fontId="133" fillId="4" borderId="43" applyFont="0" applyFill="0" applyBorder="0"/>
    <xf numFmtId="239" fontId="46" fillId="0" borderId="4">
      <alignment horizontal="right" vertical="center"/>
    </xf>
    <xf numFmtId="247" fontId="7" fillId="0" borderId="4">
      <alignment horizontal="right" vertical="center"/>
    </xf>
    <xf numFmtId="174" fontId="12" fillId="0" borderId="4">
      <alignment horizontal="right" vertical="center"/>
    </xf>
    <xf numFmtId="239" fontId="46" fillId="0" borderId="4">
      <alignment horizontal="right" vertical="center"/>
    </xf>
    <xf numFmtId="239" fontId="46" fillId="0" borderId="4">
      <alignment horizontal="right" vertical="center"/>
    </xf>
    <xf numFmtId="239" fontId="46" fillId="0" borderId="4">
      <alignment horizontal="right" vertical="center"/>
    </xf>
    <xf numFmtId="174" fontId="12" fillId="0" borderId="4">
      <alignment horizontal="right" vertical="center"/>
    </xf>
    <xf numFmtId="239" fontId="46" fillId="0" borderId="4">
      <alignment horizontal="right" vertical="center"/>
    </xf>
    <xf numFmtId="243" fontId="7" fillId="0" borderId="4">
      <alignment horizontal="right" vertical="center"/>
    </xf>
    <xf numFmtId="239" fontId="46" fillId="0" borderId="4">
      <alignment horizontal="right" vertical="center"/>
    </xf>
    <xf numFmtId="239" fontId="46" fillId="0" borderId="4">
      <alignment horizontal="right" vertical="center"/>
    </xf>
    <xf numFmtId="249" fontId="46" fillId="0" borderId="4">
      <alignment horizontal="right" vertical="center"/>
    </xf>
    <xf numFmtId="250" fontId="134" fillId="0" borderId="4">
      <alignment horizontal="right" vertical="center"/>
    </xf>
    <xf numFmtId="49" fontId="22" fillId="0" borderId="0" applyFill="0" applyBorder="0" applyAlignment="0"/>
    <xf numFmtId="0" fontId="2" fillId="0" borderId="0" applyFill="0" applyBorder="0" applyAlignment="0"/>
    <xf numFmtId="251" fontId="2" fillId="0" borderId="0" applyFill="0" applyBorder="0" applyAlignment="0"/>
    <xf numFmtId="192" fontId="46" fillId="0" borderId="4">
      <alignment horizontal="center"/>
    </xf>
    <xf numFmtId="252" fontId="135" fillId="0" borderId="0" applyNumberFormat="0" applyFont="0" applyFill="0" applyBorder="0" applyAlignment="0">
      <alignment horizontal="centerContinuous"/>
    </xf>
    <xf numFmtId="0" fontId="7" fillId="0" borderId="44"/>
    <xf numFmtId="0" fontId="46" fillId="0" borderId="0" applyNumberFormat="0" applyFill="0" applyBorder="0" applyAlignment="0" applyProtection="0"/>
    <xf numFmtId="0" fontId="2" fillId="0" borderId="0" applyNumberFormat="0" applyFill="0" applyBorder="0" applyAlignment="0" applyProtection="0"/>
    <xf numFmtId="0" fontId="113" fillId="0" borderId="0" applyNumberFormat="0" applyFill="0" applyBorder="0" applyAlignment="0" applyProtection="0"/>
    <xf numFmtId="0" fontId="52" fillId="0" borderId="18" applyNumberFormat="0" applyBorder="0" applyAlignment="0"/>
    <xf numFmtId="0" fontId="136" fillId="0" borderId="17" applyNumberFormat="0" applyBorder="0" applyAlignment="0">
      <alignment horizontal="center"/>
    </xf>
    <xf numFmtId="3" fontId="137" fillId="0" borderId="32" applyNumberFormat="0" applyBorder="0" applyAlignment="0"/>
    <xf numFmtId="0" fontId="138" fillId="0" borderId="18">
      <alignment horizontal="center" vertical="center" wrapText="1"/>
    </xf>
    <xf numFmtId="0" fontId="139" fillId="0" borderId="0" applyNumberFormat="0" applyFill="0" applyBorder="0" applyAlignment="0" applyProtection="0"/>
    <xf numFmtId="40" fontId="4" fillId="0" borderId="0"/>
    <xf numFmtId="0" fontId="140" fillId="20" borderId="24" applyNumberFormat="0" applyAlignment="0" applyProtection="0"/>
    <xf numFmtId="3" fontId="141" fillId="0" borderId="0" applyNumberFormat="0" applyFill="0" applyBorder="0" applyAlignment="0" applyProtection="0">
      <alignment horizontal="center" wrapText="1"/>
    </xf>
    <xf numFmtId="0" fontId="142" fillId="0" borderId="1" applyBorder="0" applyAlignment="0">
      <alignment horizontal="center" vertical="center"/>
    </xf>
    <xf numFmtId="0" fontId="143" fillId="0" borderId="0" applyNumberFormat="0" applyFill="0" applyBorder="0" applyAlignment="0" applyProtection="0">
      <alignment horizontal="centerContinuous"/>
    </xf>
    <xf numFmtId="0" fontId="83" fillId="0" borderId="45" applyNumberFormat="0" applyFill="0" applyBorder="0" applyAlignment="0" applyProtection="0">
      <alignment horizontal="center" vertical="center" wrapText="1"/>
    </xf>
    <xf numFmtId="0" fontId="144" fillId="0" borderId="46" applyNumberFormat="0" applyFill="0" applyAlignment="0" applyProtection="0"/>
    <xf numFmtId="0" fontId="145" fillId="0" borderId="47" applyNumberFormat="0" applyBorder="0" applyAlignment="0">
      <alignment vertical="center"/>
    </xf>
    <xf numFmtId="0" fontId="146" fillId="8" borderId="0" applyNumberFormat="0" applyBorder="0" applyAlignment="0" applyProtection="0"/>
    <xf numFmtId="0" fontId="102" fillId="0" borderId="48" applyNumberFormat="0" applyAlignment="0">
      <alignment horizontal="center"/>
    </xf>
    <xf numFmtId="0" fontId="147" fillId="46" borderId="0" applyNumberFormat="0" applyBorder="0" applyAlignment="0" applyProtection="0"/>
    <xf numFmtId="0" fontId="148" fillId="0" borderId="49">
      <alignment horizontal="center"/>
    </xf>
    <xf numFmtId="173" fontId="2" fillId="0" borderId="0" applyFont="0" applyFill="0" applyBorder="0" applyAlignment="0" applyProtection="0"/>
    <xf numFmtId="188" fontId="2" fillId="0" borderId="0" applyFont="0" applyFill="0" applyBorder="0" applyAlignment="0" applyProtection="0"/>
    <xf numFmtId="180" fontId="109" fillId="0" borderId="50" applyNumberFormat="0" applyFont="0" applyAlignment="0">
      <alignment horizontal="centerContinuous"/>
    </xf>
    <xf numFmtId="223" fontId="92" fillId="0" borderId="0" applyFont="0" applyFill="0" applyBorder="0" applyAlignment="0" applyProtection="0"/>
    <xf numFmtId="253" fontId="7" fillId="0" borderId="0" applyFont="0" applyFill="0" applyBorder="0" applyAlignment="0" applyProtection="0"/>
    <xf numFmtId="254" fontId="7" fillId="0" borderId="0" applyFon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87" fillId="0" borderId="51">
      <alignment horizontal="center"/>
    </xf>
    <xf numFmtId="251" fontId="46" fillId="0" borderId="0"/>
    <xf numFmtId="249" fontId="46" fillId="0" borderId="16"/>
    <xf numFmtId="0" fontId="151" fillId="0" borderId="0"/>
    <xf numFmtId="0" fontId="152" fillId="0" borderId="0"/>
    <xf numFmtId="3" fontId="46" fillId="0" borderId="0" applyNumberFormat="0" applyBorder="0" applyAlignment="0" applyProtection="0">
      <alignment horizontal="centerContinuous"/>
      <protection locked="0"/>
    </xf>
    <xf numFmtId="3" fontId="153" fillId="0" borderId="0">
      <protection locked="0"/>
    </xf>
    <xf numFmtId="0" fontId="151" fillId="0" borderId="0"/>
    <xf numFmtId="0" fontId="154" fillId="0" borderId="52" applyFill="0" applyBorder="0" applyAlignment="0">
      <alignment horizontal="center"/>
    </xf>
    <xf numFmtId="5" fontId="155" fillId="47" borderId="1">
      <alignment vertical="top"/>
    </xf>
    <xf numFmtId="0" fontId="156" fillId="48" borderId="16">
      <alignment horizontal="left" vertical="center"/>
    </xf>
    <xf numFmtId="6" fontId="157" fillId="49" borderId="1"/>
    <xf numFmtId="5" fontId="89" fillId="0" borderId="1">
      <alignment horizontal="left" vertical="top"/>
    </xf>
    <xf numFmtId="0" fontId="158" fillId="50" borderId="0">
      <alignment horizontal="left" vertical="center"/>
    </xf>
    <xf numFmtId="5" fontId="12" fillId="0" borderId="5">
      <alignment horizontal="left" vertical="top"/>
    </xf>
    <xf numFmtId="0" fontId="159" fillId="0" borderId="5">
      <alignment horizontal="left" vertical="center"/>
    </xf>
    <xf numFmtId="0" fontId="2" fillId="0" borderId="0" applyFont="0" applyFill="0" applyBorder="0" applyAlignment="0" applyProtection="0"/>
    <xf numFmtId="0" fontId="2" fillId="0" borderId="0" applyFont="0" applyFill="0" applyBorder="0" applyAlignment="0" applyProtection="0"/>
    <xf numFmtId="42" fontId="152" fillId="0" borderId="0" applyFont="0" applyFill="0" applyBorder="0" applyAlignment="0" applyProtection="0"/>
    <xf numFmtId="255" fontId="2" fillId="0" borderId="0" applyFont="0" applyFill="0" applyBorder="0" applyAlignment="0" applyProtection="0"/>
    <xf numFmtId="42" fontId="69" fillId="0" borderId="0" applyFont="0" applyFill="0" applyBorder="0" applyAlignment="0" applyProtection="0"/>
    <xf numFmtId="44" fontId="69" fillId="0" borderId="0" applyFont="0" applyFill="0" applyBorder="0" applyAlignment="0" applyProtection="0"/>
    <xf numFmtId="0" fontId="160" fillId="0" borderId="0" applyNumberFormat="0" applyFont="0" applyFill="0" applyBorder="0" applyProtection="0">
      <alignment horizontal="center" vertical="center" wrapText="1"/>
    </xf>
    <xf numFmtId="0" fontId="2" fillId="0" borderId="0" applyFont="0" applyFill="0" applyBorder="0" applyAlignment="0" applyProtection="0"/>
    <xf numFmtId="0" fontId="2" fillId="0" borderId="0" applyFont="0" applyFill="0" applyBorder="0" applyAlignment="0" applyProtection="0"/>
    <xf numFmtId="0" fontId="161" fillId="7" borderId="0" applyNumberFormat="0" applyBorder="0" applyAlignment="0" applyProtection="0"/>
    <xf numFmtId="0" fontId="162" fillId="0" borderId="0" applyNumberFormat="0" applyFill="0" applyBorder="0" applyAlignment="0" applyProtection="0"/>
    <xf numFmtId="0" fontId="40" fillId="0" borderId="53" applyFont="0" applyBorder="0" applyAlignment="0">
      <alignment horizontal="center"/>
    </xf>
    <xf numFmtId="173" fontId="7" fillId="0" borderId="0" applyFont="0" applyFill="0" applyBorder="0" applyAlignment="0" applyProtection="0"/>
    <xf numFmtId="0" fontId="163" fillId="0" borderId="0" applyFont="0" applyFill="0" applyBorder="0" applyAlignment="0" applyProtection="0"/>
    <xf numFmtId="0" fontId="163" fillId="0" borderId="0" applyFont="0" applyFill="0" applyBorder="0" applyAlignment="0" applyProtection="0"/>
    <xf numFmtId="0" fontId="56" fillId="0" borderId="0">
      <alignment vertical="center"/>
    </xf>
    <xf numFmtId="40" fontId="164" fillId="0" borderId="0" applyFont="0" applyFill="0" applyBorder="0" applyAlignment="0" applyProtection="0"/>
    <xf numFmtId="38" fontId="164" fillId="0" borderId="0" applyFont="0" applyFill="0" applyBorder="0" applyAlignment="0" applyProtection="0"/>
    <xf numFmtId="0" fontId="164" fillId="0" borderId="0" applyFont="0" applyFill="0" applyBorder="0" applyAlignment="0" applyProtection="0"/>
    <xf numFmtId="0" fontId="164" fillId="0" borderId="0" applyFont="0" applyFill="0" applyBorder="0" applyAlignment="0" applyProtection="0"/>
    <xf numFmtId="9" fontId="165" fillId="0" borderId="0" applyBorder="0" applyAlignment="0" applyProtection="0"/>
    <xf numFmtId="0" fontId="166" fillId="0" borderId="0"/>
    <xf numFmtId="0" fontId="167" fillId="0" borderId="2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7" fillId="0" borderId="0" applyFont="0" applyFill="0" applyBorder="0" applyAlignment="0" applyProtection="0"/>
    <xf numFmtId="0" fontId="107" fillId="0" borderId="0" applyFont="0" applyFill="0" applyBorder="0" applyAlignment="0" applyProtection="0"/>
    <xf numFmtId="179" fontId="2" fillId="0" borderId="0" applyFont="0" applyFill="0" applyBorder="0" applyAlignment="0" applyProtection="0"/>
    <xf numFmtId="205" fontId="2" fillId="0" borderId="0" applyFont="0" applyFill="0" applyBorder="0" applyAlignment="0" applyProtection="0"/>
    <xf numFmtId="0" fontId="107" fillId="0" borderId="0"/>
    <xf numFmtId="0" fontId="168" fillId="0" borderId="0"/>
    <xf numFmtId="0" fontId="61" fillId="0" borderId="0"/>
    <xf numFmtId="173" fontId="169" fillId="0" borderId="0" applyFont="0" applyFill="0" applyBorder="0" applyAlignment="0" applyProtection="0"/>
    <xf numFmtId="175" fontId="169"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xf numFmtId="179" fontId="169" fillId="0" borderId="0" applyFont="0" applyFill="0" applyBorder="0" applyAlignment="0" applyProtection="0"/>
    <xf numFmtId="256" fontId="18" fillId="0" borderId="0" applyFont="0" applyFill="0" applyBorder="0" applyAlignment="0" applyProtection="0"/>
    <xf numFmtId="205" fontId="169"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175" fontId="1" fillId="0" borderId="0" applyFont="0" applyFill="0" applyBorder="0" applyAlignment="0" applyProtection="0"/>
    <xf numFmtId="0" fontId="6" fillId="0" borderId="0"/>
    <xf numFmtId="175" fontId="6" fillId="0" borderId="0" applyFont="0" applyFill="0" applyBorder="0" applyAlignment="0" applyProtection="0"/>
    <xf numFmtId="173" fontId="6" fillId="0" borderId="0" applyFont="0" applyFill="0" applyBorder="0" applyAlignment="0" applyProtection="0"/>
    <xf numFmtId="195" fontId="3" fillId="0" borderId="0" applyFont="0" applyFill="0" applyBorder="0" applyAlignment="0" applyProtection="0"/>
    <xf numFmtId="0" fontId="170" fillId="0" borderId="0" applyNumberFormat="0" applyFill="0" applyBorder="0" applyAlignment="0" applyProtection="0">
      <alignment vertical="top"/>
    </xf>
    <xf numFmtId="0" fontId="2" fillId="0" borderId="0"/>
    <xf numFmtId="0" fontId="2" fillId="0" borderId="0"/>
    <xf numFmtId="175" fontId="6" fillId="0" borderId="0" applyFont="0" applyFill="0" applyBorder="0" applyAlignment="0" applyProtection="0"/>
    <xf numFmtId="0" fontId="6" fillId="0" borderId="0"/>
    <xf numFmtId="175" fontId="171" fillId="0" borderId="0" applyFont="0" applyFill="0" applyBorder="0" applyAlignment="0" applyProtection="0"/>
    <xf numFmtId="0" fontId="6" fillId="0" borderId="0"/>
    <xf numFmtId="175" fontId="6" fillId="0" borderId="0" applyFont="0" applyFill="0" applyBorder="0" applyAlignment="0" applyProtection="0"/>
    <xf numFmtId="0" fontId="6" fillId="0" borderId="0"/>
    <xf numFmtId="175" fontId="6" fillId="0" borderId="0" applyFont="0" applyFill="0" applyBorder="0" applyAlignment="0" applyProtection="0"/>
    <xf numFmtId="0" fontId="6" fillId="0" borderId="0"/>
    <xf numFmtId="175" fontId="6" fillId="0" borderId="0" applyFont="0" applyFill="0" applyBorder="0" applyAlignment="0" applyProtection="0"/>
    <xf numFmtId="0" fontId="6" fillId="0" borderId="0"/>
    <xf numFmtId="175" fontId="6" fillId="0" borderId="0" applyFont="0" applyFill="0" applyBorder="0" applyAlignment="0" applyProtection="0"/>
    <xf numFmtId="0" fontId="6" fillId="0" borderId="0"/>
    <xf numFmtId="175" fontId="171" fillId="0" borderId="0" applyFont="0" applyFill="0" applyBorder="0" applyAlignment="0" applyProtection="0"/>
    <xf numFmtId="0" fontId="6" fillId="0" borderId="0"/>
    <xf numFmtId="0" fontId="6" fillId="0" borderId="0"/>
    <xf numFmtId="175" fontId="6" fillId="0" borderId="0" applyFont="0" applyFill="0" applyBorder="0" applyAlignment="0" applyProtection="0"/>
    <xf numFmtId="0" fontId="6" fillId="0" borderId="0"/>
    <xf numFmtId="175" fontId="171" fillId="0" borderId="0" applyFont="0" applyFill="0" applyBorder="0" applyAlignment="0" applyProtection="0"/>
    <xf numFmtId="175" fontId="6" fillId="0" borderId="0" applyFont="0" applyFill="0" applyBorder="0" applyAlignment="0" applyProtection="0"/>
    <xf numFmtId="0" fontId="6" fillId="0" borderId="0"/>
    <xf numFmtId="175" fontId="171" fillId="0" borderId="0" applyFont="0" applyFill="0" applyBorder="0" applyAlignment="0" applyProtection="0"/>
    <xf numFmtId="0" fontId="6" fillId="0" borderId="0"/>
    <xf numFmtId="0" fontId="3" fillId="0" borderId="0"/>
    <xf numFmtId="0" fontId="3" fillId="0" borderId="0"/>
    <xf numFmtId="0" fontId="3" fillId="0" borderId="0"/>
    <xf numFmtId="0" fontId="3" fillId="0" borderId="0"/>
    <xf numFmtId="168" fontId="2" fillId="0" borderId="0" applyFont="0" applyFill="0" applyBorder="0" applyAlignment="0" applyProtection="0"/>
    <xf numFmtId="0" fontId="2" fillId="0" borderId="0"/>
    <xf numFmtId="0" fontId="1" fillId="0" borderId="0"/>
    <xf numFmtId="0" fontId="3" fillId="0" borderId="0"/>
    <xf numFmtId="0" fontId="1" fillId="0" borderId="0"/>
    <xf numFmtId="0" fontId="1" fillId="0" borderId="0"/>
    <xf numFmtId="175" fontId="1" fillId="0" borderId="0" applyFont="0" applyFill="0" applyBorder="0" applyAlignment="0" applyProtection="0"/>
    <xf numFmtId="0" fontId="218" fillId="0" borderId="0"/>
    <xf numFmtId="0" fontId="225" fillId="0" borderId="0"/>
    <xf numFmtId="168" fontId="225" fillId="0" borderId="0" applyFont="0" applyFill="0" applyBorder="0" applyAlignment="0" applyProtection="0"/>
    <xf numFmtId="0" fontId="14" fillId="0" borderId="0"/>
    <xf numFmtId="168" fontId="225" fillId="0" borderId="0" applyFont="0" applyFill="0" applyBorder="0" applyAlignment="0" applyProtection="0"/>
    <xf numFmtId="168" fontId="225" fillId="0" borderId="0" applyFont="0" applyFill="0" applyBorder="0" applyAlignment="0" applyProtection="0"/>
    <xf numFmtId="215" fontId="3" fillId="0" borderId="0" applyFont="0" applyFill="0" applyBorder="0" applyAlignment="0" applyProtection="0"/>
    <xf numFmtId="0" fontId="6" fillId="0" borderId="0"/>
    <xf numFmtId="264" fontId="21" fillId="0" borderId="0" applyFont="0" applyFill="0" applyBorder="0" applyAlignment="0" applyProtection="0"/>
    <xf numFmtId="264" fontId="21" fillId="0" borderId="0" applyFont="0" applyFill="0" applyBorder="0" applyAlignment="0" applyProtection="0"/>
    <xf numFmtId="0" fontId="23" fillId="0" borderId="0"/>
    <xf numFmtId="265" fontId="21" fillId="0" borderId="0" applyFont="0" applyFill="0" applyBorder="0" applyAlignment="0" applyProtection="0"/>
    <xf numFmtId="266" fontId="21" fillId="0" borderId="0" applyFont="0" applyFill="0" applyBorder="0" applyAlignment="0" applyProtection="0"/>
    <xf numFmtId="265" fontId="21" fillId="0" borderId="0" applyFont="0" applyFill="0" applyBorder="0" applyAlignment="0" applyProtection="0"/>
    <xf numFmtId="0" fontId="22" fillId="0" borderId="0">
      <alignment vertical="top"/>
    </xf>
    <xf numFmtId="0" fontId="22" fillId="0" borderId="0">
      <alignment vertical="top"/>
    </xf>
    <xf numFmtId="267" fontId="9" fillId="0" borderId="0" applyFont="0" applyFill="0" applyBorder="0" applyAlignment="0" applyProtection="0"/>
    <xf numFmtId="268" fontId="9" fillId="0" borderId="0" applyFont="0" applyFill="0" applyBorder="0" applyAlignment="0" applyProtection="0"/>
    <xf numFmtId="178" fontId="21" fillId="0" borderId="0" applyFont="0" applyFill="0" applyBorder="0" applyAlignment="0" applyProtection="0"/>
    <xf numFmtId="269" fontId="21" fillId="0" borderId="0" applyFont="0" applyFill="0" applyBorder="0" applyAlignment="0" applyProtection="0"/>
    <xf numFmtId="189" fontId="21" fillId="0" borderId="0" applyFont="0" applyFill="0" applyBorder="0" applyAlignment="0" applyProtection="0"/>
    <xf numFmtId="269" fontId="21" fillId="0" borderId="0" applyFont="0" applyFill="0" applyBorder="0" applyAlignment="0" applyProtection="0"/>
    <xf numFmtId="270" fontId="21" fillId="0" borderId="0" applyFont="0" applyFill="0" applyBorder="0" applyAlignment="0" applyProtection="0"/>
    <xf numFmtId="0" fontId="21" fillId="0" borderId="0" applyFont="0" applyFill="0" applyBorder="0" applyAlignment="0" applyProtection="0"/>
    <xf numFmtId="269" fontId="21" fillId="0" borderId="0" applyFont="0" applyFill="0" applyBorder="0" applyAlignment="0" applyProtection="0"/>
    <xf numFmtId="189" fontId="21" fillId="0" borderId="0" applyFont="0" applyFill="0" applyBorder="0" applyAlignment="0" applyProtection="0"/>
    <xf numFmtId="178" fontId="21" fillId="0" borderId="0" applyFont="0" applyFill="0" applyBorder="0" applyAlignment="0" applyProtection="0"/>
    <xf numFmtId="271" fontId="21" fillId="0" borderId="0" applyFont="0" applyFill="0" applyBorder="0" applyAlignment="0" applyProtection="0"/>
    <xf numFmtId="0" fontId="21" fillId="0" borderId="0" applyFont="0" applyFill="0" applyBorder="0" applyAlignment="0" applyProtection="0"/>
    <xf numFmtId="272" fontId="21" fillId="0" borderId="0" applyFont="0" applyFill="0" applyBorder="0" applyAlignment="0" applyProtection="0"/>
    <xf numFmtId="189" fontId="21" fillId="0" borderId="0" applyFont="0" applyFill="0" applyBorder="0" applyAlignment="0" applyProtection="0"/>
    <xf numFmtId="272" fontId="21" fillId="0" borderId="0" applyFont="0" applyFill="0" applyBorder="0" applyAlignment="0" applyProtection="0"/>
    <xf numFmtId="189" fontId="21" fillId="0" borderId="0" applyFont="0" applyFill="0" applyBorder="0" applyAlignment="0" applyProtection="0"/>
    <xf numFmtId="189" fontId="21" fillId="0" borderId="0" applyFont="0" applyFill="0" applyBorder="0" applyAlignment="0" applyProtection="0"/>
    <xf numFmtId="269" fontId="21" fillId="0" borderId="0" applyFont="0" applyFill="0" applyBorder="0" applyAlignment="0" applyProtection="0"/>
    <xf numFmtId="269" fontId="21" fillId="0" borderId="0" applyFont="0" applyFill="0" applyBorder="0" applyAlignment="0" applyProtection="0"/>
    <xf numFmtId="189" fontId="21" fillId="0" borderId="0" applyFont="0" applyFill="0" applyBorder="0" applyAlignment="0" applyProtection="0"/>
    <xf numFmtId="269" fontId="21" fillId="0" borderId="0" applyFont="0" applyFill="0" applyBorder="0" applyAlignment="0" applyProtection="0"/>
    <xf numFmtId="189" fontId="21" fillId="0" borderId="0" applyFont="0" applyFill="0" applyBorder="0" applyAlignment="0" applyProtection="0"/>
    <xf numFmtId="273" fontId="21" fillId="0" borderId="0" applyFont="0" applyFill="0" applyBorder="0" applyAlignment="0" applyProtection="0"/>
    <xf numFmtId="192" fontId="9" fillId="0" borderId="0" applyFont="0" applyFill="0" applyBorder="0" applyAlignment="0" applyProtection="0"/>
    <xf numFmtId="265" fontId="21" fillId="0" borderId="0" applyFont="0" applyFill="0" applyBorder="0" applyAlignment="0" applyProtection="0"/>
    <xf numFmtId="266" fontId="21" fillId="0" borderId="0" applyFont="0" applyFill="0" applyBorder="0" applyAlignment="0" applyProtection="0"/>
    <xf numFmtId="265" fontId="21" fillId="0" borderId="0" applyFont="0" applyFill="0" applyBorder="0" applyAlignment="0" applyProtection="0"/>
    <xf numFmtId="165" fontId="21" fillId="0" borderId="0" applyFont="0" applyFill="0" applyBorder="0" applyAlignment="0" applyProtection="0"/>
    <xf numFmtId="265" fontId="21" fillId="0" borderId="0" applyFont="0" applyFill="0" applyBorder="0" applyAlignment="0" applyProtection="0"/>
    <xf numFmtId="274" fontId="21" fillId="0" borderId="0" applyFont="0" applyFill="0" applyBorder="0" applyAlignment="0" applyProtection="0"/>
    <xf numFmtId="275" fontId="21" fillId="0" borderId="0" applyFont="0" applyFill="0" applyBorder="0" applyAlignment="0" applyProtection="0"/>
    <xf numFmtId="178" fontId="21" fillId="0" borderId="0" applyFont="0" applyFill="0" applyBorder="0" applyAlignment="0" applyProtection="0"/>
    <xf numFmtId="269" fontId="21" fillId="0" borderId="0" applyFont="0" applyFill="0" applyBorder="0" applyAlignment="0" applyProtection="0"/>
    <xf numFmtId="189" fontId="21" fillId="0" borderId="0" applyFont="0" applyFill="0" applyBorder="0" applyAlignment="0" applyProtection="0"/>
    <xf numFmtId="269" fontId="21" fillId="0" borderId="0" applyFont="0" applyFill="0" applyBorder="0" applyAlignment="0" applyProtection="0"/>
    <xf numFmtId="270" fontId="21" fillId="0" borderId="0" applyFont="0" applyFill="0" applyBorder="0" applyAlignment="0" applyProtection="0"/>
    <xf numFmtId="0" fontId="21" fillId="0" borderId="0" applyFont="0" applyFill="0" applyBorder="0" applyAlignment="0" applyProtection="0"/>
    <xf numFmtId="269" fontId="21" fillId="0" borderId="0" applyFont="0" applyFill="0" applyBorder="0" applyAlignment="0" applyProtection="0"/>
    <xf numFmtId="189" fontId="21" fillId="0" borderId="0" applyFont="0" applyFill="0" applyBorder="0" applyAlignment="0" applyProtection="0"/>
    <xf numFmtId="178" fontId="21" fillId="0" borderId="0" applyFont="0" applyFill="0" applyBorder="0" applyAlignment="0" applyProtection="0"/>
    <xf numFmtId="271" fontId="21" fillId="0" borderId="0" applyFont="0" applyFill="0" applyBorder="0" applyAlignment="0" applyProtection="0"/>
    <xf numFmtId="0" fontId="21" fillId="0" borderId="0" applyFont="0" applyFill="0" applyBorder="0" applyAlignment="0" applyProtection="0"/>
    <xf numFmtId="272" fontId="21" fillId="0" borderId="0" applyFont="0" applyFill="0" applyBorder="0" applyAlignment="0" applyProtection="0"/>
    <xf numFmtId="189" fontId="21" fillId="0" borderId="0" applyFont="0" applyFill="0" applyBorder="0" applyAlignment="0" applyProtection="0"/>
    <xf numFmtId="272" fontId="21" fillId="0" borderId="0" applyFont="0" applyFill="0" applyBorder="0" applyAlignment="0" applyProtection="0"/>
    <xf numFmtId="189" fontId="21" fillId="0" borderId="0" applyFont="0" applyFill="0" applyBorder="0" applyAlignment="0" applyProtection="0"/>
    <xf numFmtId="189" fontId="21" fillId="0" borderId="0" applyFont="0" applyFill="0" applyBorder="0" applyAlignment="0" applyProtection="0"/>
    <xf numFmtId="269" fontId="21" fillId="0" borderId="0" applyFont="0" applyFill="0" applyBorder="0" applyAlignment="0" applyProtection="0"/>
    <xf numFmtId="269" fontId="21" fillId="0" borderId="0" applyFont="0" applyFill="0" applyBorder="0" applyAlignment="0" applyProtection="0"/>
    <xf numFmtId="189" fontId="21" fillId="0" borderId="0" applyFont="0" applyFill="0" applyBorder="0" applyAlignment="0" applyProtection="0"/>
    <xf numFmtId="269" fontId="21" fillId="0" borderId="0" applyFont="0" applyFill="0" applyBorder="0" applyAlignment="0" applyProtection="0"/>
    <xf numFmtId="189" fontId="21" fillId="0" borderId="0" applyFont="0" applyFill="0" applyBorder="0" applyAlignment="0" applyProtection="0"/>
    <xf numFmtId="273" fontId="21" fillId="0" borderId="0" applyFont="0" applyFill="0" applyBorder="0" applyAlignment="0" applyProtection="0"/>
    <xf numFmtId="177" fontId="21" fillId="0" borderId="0" applyFont="0" applyFill="0" applyBorder="0" applyAlignment="0" applyProtection="0"/>
    <xf numFmtId="276" fontId="21" fillId="0" borderId="0" applyFont="0" applyFill="0" applyBorder="0" applyAlignment="0" applyProtection="0"/>
    <xf numFmtId="187" fontId="21" fillId="0" borderId="0" applyFont="0" applyFill="0" applyBorder="0" applyAlignment="0" applyProtection="0"/>
    <xf numFmtId="276" fontId="21" fillId="0" borderId="0" applyFont="0" applyFill="0" applyBorder="0" applyAlignment="0" applyProtection="0"/>
    <xf numFmtId="277" fontId="21" fillId="0" borderId="0" applyFont="0" applyFill="0" applyBorder="0" applyAlignment="0" applyProtection="0"/>
    <xf numFmtId="187" fontId="9" fillId="0" borderId="0" applyFont="0" applyFill="0" applyBorder="0" applyAlignment="0" applyProtection="0"/>
    <xf numFmtId="276" fontId="21" fillId="0" borderId="0" applyFont="0" applyFill="0" applyBorder="0" applyAlignment="0" applyProtection="0"/>
    <xf numFmtId="278" fontId="21" fillId="0" borderId="0" applyFont="0" applyFill="0" applyBorder="0" applyAlignment="0" applyProtection="0"/>
    <xf numFmtId="177" fontId="21" fillId="0" borderId="0" applyFont="0" applyFill="0" applyBorder="0" applyAlignment="0" applyProtection="0"/>
    <xf numFmtId="279" fontId="21" fillId="0" borderId="0" applyFont="0" applyFill="0" applyBorder="0" applyAlignment="0" applyProtection="0"/>
    <xf numFmtId="280" fontId="21" fillId="0" borderId="0" applyFont="0" applyFill="0" applyBorder="0" applyAlignment="0" applyProtection="0"/>
    <xf numFmtId="187" fontId="21" fillId="0" borderId="0" applyFont="0" applyFill="0" applyBorder="0" applyAlignment="0" applyProtection="0"/>
    <xf numFmtId="279" fontId="21"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276" fontId="21" fillId="0" borderId="0" applyFont="0" applyFill="0" applyBorder="0" applyAlignment="0" applyProtection="0"/>
    <xf numFmtId="276" fontId="21" fillId="0" borderId="0" applyFont="0" applyFill="0" applyBorder="0" applyAlignment="0" applyProtection="0"/>
    <xf numFmtId="187" fontId="21" fillId="0" borderId="0" applyFont="0" applyFill="0" applyBorder="0" applyAlignment="0" applyProtection="0"/>
    <xf numFmtId="276" fontId="21" fillId="0" borderId="0" applyFont="0" applyFill="0" applyBorder="0" applyAlignment="0" applyProtection="0"/>
    <xf numFmtId="187" fontId="21" fillId="0" borderId="0" applyFont="0" applyFill="0" applyBorder="0" applyAlignment="0" applyProtection="0"/>
    <xf numFmtId="281" fontId="21" fillId="0" borderId="0" applyFont="0" applyFill="0" applyBorder="0" applyAlignment="0" applyProtection="0"/>
    <xf numFmtId="192" fontId="9" fillId="0" borderId="0" applyFont="0" applyFill="0" applyBorder="0" applyAlignment="0" applyProtection="0"/>
    <xf numFmtId="265" fontId="21" fillId="0" borderId="0" applyFont="0" applyFill="0" applyBorder="0" applyAlignment="0" applyProtection="0"/>
    <xf numFmtId="266" fontId="21" fillId="0" borderId="0" applyFont="0" applyFill="0" applyBorder="0" applyAlignment="0" applyProtection="0"/>
    <xf numFmtId="265" fontId="21" fillId="0" borderId="0" applyFont="0" applyFill="0" applyBorder="0" applyAlignment="0" applyProtection="0"/>
    <xf numFmtId="165" fontId="21" fillId="0" borderId="0" applyFont="0" applyFill="0" applyBorder="0" applyAlignment="0" applyProtection="0"/>
    <xf numFmtId="265" fontId="21" fillId="0" borderId="0" applyFont="0" applyFill="0" applyBorder="0" applyAlignment="0" applyProtection="0"/>
    <xf numFmtId="274" fontId="21" fillId="0" borderId="0" applyFont="0" applyFill="0" applyBorder="0" applyAlignment="0" applyProtection="0"/>
    <xf numFmtId="275" fontId="21" fillId="0" borderId="0" applyFont="0" applyFill="0" applyBorder="0" applyAlignment="0" applyProtection="0"/>
    <xf numFmtId="177" fontId="21" fillId="0" borderId="0" applyFont="0" applyFill="0" applyBorder="0" applyAlignment="0" applyProtection="0"/>
    <xf numFmtId="276" fontId="21" fillId="0" borderId="0" applyFont="0" applyFill="0" applyBorder="0" applyAlignment="0" applyProtection="0"/>
    <xf numFmtId="187" fontId="21" fillId="0" borderId="0" applyFont="0" applyFill="0" applyBorder="0" applyAlignment="0" applyProtection="0"/>
    <xf numFmtId="276" fontId="21" fillId="0" borderId="0" applyFont="0" applyFill="0" applyBorder="0" applyAlignment="0" applyProtection="0"/>
    <xf numFmtId="277" fontId="21" fillId="0" borderId="0" applyFont="0" applyFill="0" applyBorder="0" applyAlignment="0" applyProtection="0"/>
    <xf numFmtId="187" fontId="9" fillId="0" borderId="0" applyFont="0" applyFill="0" applyBorder="0" applyAlignment="0" applyProtection="0"/>
    <xf numFmtId="276" fontId="21" fillId="0" borderId="0" applyFont="0" applyFill="0" applyBorder="0" applyAlignment="0" applyProtection="0"/>
    <xf numFmtId="278" fontId="21" fillId="0" borderId="0" applyFont="0" applyFill="0" applyBorder="0" applyAlignment="0" applyProtection="0"/>
    <xf numFmtId="177" fontId="21" fillId="0" borderId="0" applyFont="0" applyFill="0" applyBorder="0" applyAlignment="0" applyProtection="0"/>
    <xf numFmtId="279" fontId="21" fillId="0" borderId="0" applyFont="0" applyFill="0" applyBorder="0" applyAlignment="0" applyProtection="0"/>
    <xf numFmtId="280" fontId="21" fillId="0" borderId="0" applyFont="0" applyFill="0" applyBorder="0" applyAlignment="0" applyProtection="0"/>
    <xf numFmtId="187" fontId="21" fillId="0" borderId="0" applyFont="0" applyFill="0" applyBorder="0" applyAlignment="0" applyProtection="0"/>
    <xf numFmtId="279" fontId="21"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276" fontId="21" fillId="0" borderId="0" applyFont="0" applyFill="0" applyBorder="0" applyAlignment="0" applyProtection="0"/>
    <xf numFmtId="276" fontId="21" fillId="0" borderId="0" applyFont="0" applyFill="0" applyBorder="0" applyAlignment="0" applyProtection="0"/>
    <xf numFmtId="187" fontId="21" fillId="0" borderId="0" applyFont="0" applyFill="0" applyBorder="0" applyAlignment="0" applyProtection="0"/>
    <xf numFmtId="276" fontId="21" fillId="0" borderId="0" applyFont="0" applyFill="0" applyBorder="0" applyAlignment="0" applyProtection="0"/>
    <xf numFmtId="187" fontId="21" fillId="0" borderId="0" applyFont="0" applyFill="0" applyBorder="0" applyAlignment="0" applyProtection="0"/>
    <xf numFmtId="281" fontId="21" fillId="0" borderId="0" applyFont="0" applyFill="0" applyBorder="0" applyAlignment="0" applyProtection="0"/>
    <xf numFmtId="178" fontId="21" fillId="0" borderId="0" applyFont="0" applyFill="0" applyBorder="0" applyAlignment="0" applyProtection="0"/>
    <xf numFmtId="269" fontId="21" fillId="0" borderId="0" applyFont="0" applyFill="0" applyBorder="0" applyAlignment="0" applyProtection="0"/>
    <xf numFmtId="189" fontId="21" fillId="0" borderId="0" applyFont="0" applyFill="0" applyBorder="0" applyAlignment="0" applyProtection="0"/>
    <xf numFmtId="269" fontId="21" fillId="0" borderId="0" applyFont="0" applyFill="0" applyBorder="0" applyAlignment="0" applyProtection="0"/>
    <xf numFmtId="270" fontId="21" fillId="0" borderId="0" applyFont="0" applyFill="0" applyBorder="0" applyAlignment="0" applyProtection="0"/>
    <xf numFmtId="0" fontId="21" fillId="0" borderId="0" applyFont="0" applyFill="0" applyBorder="0" applyAlignment="0" applyProtection="0"/>
    <xf numFmtId="269" fontId="21" fillId="0" borderId="0" applyFont="0" applyFill="0" applyBorder="0" applyAlignment="0" applyProtection="0"/>
    <xf numFmtId="189" fontId="21" fillId="0" borderId="0" applyFont="0" applyFill="0" applyBorder="0" applyAlignment="0" applyProtection="0"/>
    <xf numFmtId="178" fontId="21" fillId="0" borderId="0" applyFont="0" applyFill="0" applyBorder="0" applyAlignment="0" applyProtection="0"/>
    <xf numFmtId="271" fontId="21" fillId="0" borderId="0" applyFont="0" applyFill="0" applyBorder="0" applyAlignment="0" applyProtection="0"/>
    <xf numFmtId="0" fontId="21" fillId="0" borderId="0" applyFont="0" applyFill="0" applyBorder="0" applyAlignment="0" applyProtection="0"/>
    <xf numFmtId="272" fontId="21" fillId="0" borderId="0" applyFont="0" applyFill="0" applyBorder="0" applyAlignment="0" applyProtection="0"/>
    <xf numFmtId="189" fontId="21" fillId="0" borderId="0" applyFont="0" applyFill="0" applyBorder="0" applyAlignment="0" applyProtection="0"/>
    <xf numFmtId="272" fontId="21" fillId="0" borderId="0" applyFont="0" applyFill="0" applyBorder="0" applyAlignment="0" applyProtection="0"/>
    <xf numFmtId="189" fontId="21" fillId="0" borderId="0" applyFont="0" applyFill="0" applyBorder="0" applyAlignment="0" applyProtection="0"/>
    <xf numFmtId="189" fontId="21" fillId="0" borderId="0" applyFont="0" applyFill="0" applyBorder="0" applyAlignment="0" applyProtection="0"/>
    <xf numFmtId="269" fontId="21" fillId="0" borderId="0" applyFont="0" applyFill="0" applyBorder="0" applyAlignment="0" applyProtection="0"/>
    <xf numFmtId="269" fontId="21" fillId="0" borderId="0" applyFont="0" applyFill="0" applyBorder="0" applyAlignment="0" applyProtection="0"/>
    <xf numFmtId="189" fontId="21" fillId="0" borderId="0" applyFont="0" applyFill="0" applyBorder="0" applyAlignment="0" applyProtection="0"/>
    <xf numFmtId="269" fontId="21" fillId="0" borderId="0" applyFont="0" applyFill="0" applyBorder="0" applyAlignment="0" applyProtection="0"/>
    <xf numFmtId="189" fontId="21" fillId="0" borderId="0" applyFont="0" applyFill="0" applyBorder="0" applyAlignment="0" applyProtection="0"/>
    <xf numFmtId="273" fontId="21" fillId="0" borderId="0" applyFont="0" applyFill="0" applyBorder="0" applyAlignment="0" applyProtection="0"/>
    <xf numFmtId="267" fontId="9" fillId="0" borderId="0" applyFont="0" applyFill="0" applyBorder="0" applyAlignment="0" applyProtection="0"/>
    <xf numFmtId="268" fontId="9" fillId="0" borderId="0" applyFont="0" applyFill="0" applyBorder="0" applyAlignment="0" applyProtection="0"/>
    <xf numFmtId="165" fontId="21" fillId="0" borderId="0" applyFont="0" applyFill="0" applyBorder="0" applyAlignment="0" applyProtection="0"/>
    <xf numFmtId="265" fontId="21" fillId="0" borderId="0" applyFont="0" applyFill="0" applyBorder="0" applyAlignment="0" applyProtection="0"/>
    <xf numFmtId="274" fontId="21" fillId="0" borderId="0" applyFont="0" applyFill="0" applyBorder="0" applyAlignment="0" applyProtection="0"/>
    <xf numFmtId="0" fontId="111" fillId="0" borderId="0"/>
    <xf numFmtId="275" fontId="21" fillId="0" borderId="0" applyFont="0" applyFill="0" applyBorder="0" applyAlignment="0" applyProtection="0"/>
    <xf numFmtId="177" fontId="21" fillId="0" borderId="0" applyFont="0" applyFill="0" applyBorder="0" applyAlignment="0" applyProtection="0"/>
    <xf numFmtId="276" fontId="21" fillId="0" borderId="0" applyFont="0" applyFill="0" applyBorder="0" applyAlignment="0" applyProtection="0"/>
    <xf numFmtId="187" fontId="21" fillId="0" borderId="0" applyFont="0" applyFill="0" applyBorder="0" applyAlignment="0" applyProtection="0"/>
    <xf numFmtId="276" fontId="21" fillId="0" borderId="0" applyFont="0" applyFill="0" applyBorder="0" applyAlignment="0" applyProtection="0"/>
    <xf numFmtId="277" fontId="21" fillId="0" borderId="0" applyFont="0" applyFill="0" applyBorder="0" applyAlignment="0" applyProtection="0"/>
    <xf numFmtId="187" fontId="9" fillId="0" borderId="0" applyFont="0" applyFill="0" applyBorder="0" applyAlignment="0" applyProtection="0"/>
    <xf numFmtId="276" fontId="21" fillId="0" borderId="0" applyFont="0" applyFill="0" applyBorder="0" applyAlignment="0" applyProtection="0"/>
    <xf numFmtId="278" fontId="21" fillId="0" borderId="0" applyFont="0" applyFill="0" applyBorder="0" applyAlignment="0" applyProtection="0"/>
    <xf numFmtId="177" fontId="21" fillId="0" borderId="0" applyFont="0" applyFill="0" applyBorder="0" applyAlignment="0" applyProtection="0"/>
    <xf numFmtId="279" fontId="21" fillId="0" borderId="0" applyFont="0" applyFill="0" applyBorder="0" applyAlignment="0" applyProtection="0"/>
    <xf numFmtId="280" fontId="21" fillId="0" borderId="0" applyFont="0" applyFill="0" applyBorder="0" applyAlignment="0" applyProtection="0"/>
    <xf numFmtId="187" fontId="21" fillId="0" borderId="0" applyFont="0" applyFill="0" applyBorder="0" applyAlignment="0" applyProtection="0"/>
    <xf numFmtId="279" fontId="21"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276" fontId="21" fillId="0" borderId="0" applyFont="0" applyFill="0" applyBorder="0" applyAlignment="0" applyProtection="0"/>
    <xf numFmtId="276" fontId="21" fillId="0" borderId="0" applyFont="0" applyFill="0" applyBorder="0" applyAlignment="0" applyProtection="0"/>
    <xf numFmtId="187" fontId="21" fillId="0" borderId="0" applyFont="0" applyFill="0" applyBorder="0" applyAlignment="0" applyProtection="0"/>
    <xf numFmtId="276" fontId="21" fillId="0" borderId="0" applyFont="0" applyFill="0" applyBorder="0" applyAlignment="0" applyProtection="0"/>
    <xf numFmtId="187" fontId="21" fillId="0" borderId="0" applyFont="0" applyFill="0" applyBorder="0" applyAlignment="0" applyProtection="0"/>
    <xf numFmtId="281" fontId="21" fillId="0" borderId="0" applyFont="0" applyFill="0" applyBorder="0" applyAlignment="0" applyProtection="0"/>
    <xf numFmtId="178" fontId="21" fillId="0" borderId="0" applyFont="0" applyFill="0" applyBorder="0" applyAlignment="0" applyProtection="0"/>
    <xf numFmtId="269" fontId="21" fillId="0" borderId="0" applyFont="0" applyFill="0" applyBorder="0" applyAlignment="0" applyProtection="0"/>
    <xf numFmtId="189" fontId="21" fillId="0" borderId="0" applyFont="0" applyFill="0" applyBorder="0" applyAlignment="0" applyProtection="0"/>
    <xf numFmtId="269" fontId="21" fillId="0" borderId="0" applyFont="0" applyFill="0" applyBorder="0" applyAlignment="0" applyProtection="0"/>
    <xf numFmtId="270" fontId="21" fillId="0" borderId="0" applyFont="0" applyFill="0" applyBorder="0" applyAlignment="0" applyProtection="0"/>
    <xf numFmtId="0" fontId="21" fillId="0" borderId="0" applyFont="0" applyFill="0" applyBorder="0" applyAlignment="0" applyProtection="0"/>
    <xf numFmtId="269" fontId="21" fillId="0" borderId="0" applyFont="0" applyFill="0" applyBorder="0" applyAlignment="0" applyProtection="0"/>
    <xf numFmtId="189" fontId="21" fillId="0" borderId="0" applyFont="0" applyFill="0" applyBorder="0" applyAlignment="0" applyProtection="0"/>
    <xf numFmtId="178" fontId="21" fillId="0" borderId="0" applyFont="0" applyFill="0" applyBorder="0" applyAlignment="0" applyProtection="0"/>
    <xf numFmtId="271" fontId="21" fillId="0" borderId="0" applyFont="0" applyFill="0" applyBorder="0" applyAlignment="0" applyProtection="0"/>
    <xf numFmtId="0" fontId="21" fillId="0" borderId="0" applyFont="0" applyFill="0" applyBorder="0" applyAlignment="0" applyProtection="0"/>
    <xf numFmtId="272" fontId="21" fillId="0" borderId="0" applyFont="0" applyFill="0" applyBorder="0" applyAlignment="0" applyProtection="0"/>
    <xf numFmtId="189" fontId="21" fillId="0" borderId="0" applyFont="0" applyFill="0" applyBorder="0" applyAlignment="0" applyProtection="0"/>
    <xf numFmtId="272" fontId="21" fillId="0" borderId="0" applyFont="0" applyFill="0" applyBorder="0" applyAlignment="0" applyProtection="0"/>
    <xf numFmtId="189" fontId="21" fillId="0" borderId="0" applyFont="0" applyFill="0" applyBorder="0" applyAlignment="0" applyProtection="0"/>
    <xf numFmtId="189" fontId="21" fillId="0" borderId="0" applyFont="0" applyFill="0" applyBorder="0" applyAlignment="0" applyProtection="0"/>
    <xf numFmtId="269" fontId="21" fillId="0" borderId="0" applyFont="0" applyFill="0" applyBorder="0" applyAlignment="0" applyProtection="0"/>
    <xf numFmtId="269" fontId="21" fillId="0" borderId="0" applyFont="0" applyFill="0" applyBorder="0" applyAlignment="0" applyProtection="0"/>
    <xf numFmtId="189" fontId="21" fillId="0" borderId="0" applyFont="0" applyFill="0" applyBorder="0" applyAlignment="0" applyProtection="0"/>
    <xf numFmtId="269" fontId="21" fillId="0" borderId="0" applyFont="0" applyFill="0" applyBorder="0" applyAlignment="0" applyProtection="0"/>
    <xf numFmtId="189" fontId="21" fillId="0" borderId="0" applyFont="0" applyFill="0" applyBorder="0" applyAlignment="0" applyProtection="0"/>
    <xf numFmtId="273" fontId="21" fillId="0" borderId="0" applyFont="0" applyFill="0" applyBorder="0" applyAlignment="0" applyProtection="0"/>
    <xf numFmtId="267" fontId="9" fillId="0" borderId="0" applyFont="0" applyFill="0" applyBorder="0" applyAlignment="0" applyProtection="0"/>
    <xf numFmtId="268" fontId="9"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0" fontId="232" fillId="0" borderId="0"/>
    <xf numFmtId="0" fontId="2" fillId="0" borderId="0"/>
    <xf numFmtId="0" fontId="232" fillId="0" borderId="0"/>
    <xf numFmtId="0" fontId="14" fillId="0" borderId="0"/>
    <xf numFmtId="184" fontId="3" fillId="0" borderId="0" applyFont="0" applyFill="0" applyBorder="0" applyAlignment="0" applyProtection="0"/>
    <xf numFmtId="171" fontId="1" fillId="0" borderId="0" applyFont="0" applyFill="0" applyBorder="0" applyAlignment="0" applyProtection="0"/>
    <xf numFmtId="175" fontId="171" fillId="0" borderId="0" applyFont="0" applyFill="0" applyBorder="0" applyAlignment="0" applyProtection="0"/>
    <xf numFmtId="175" fontId="171" fillId="0" borderId="0" applyFont="0" applyFill="0" applyBorder="0" applyAlignment="0" applyProtection="0"/>
    <xf numFmtId="175" fontId="171" fillId="0" borderId="0" applyFont="0" applyFill="0" applyBorder="0" applyAlignment="0" applyProtection="0"/>
    <xf numFmtId="175" fontId="171" fillId="0" borderId="0" applyFont="0" applyFill="0" applyBorder="0" applyAlignment="0" applyProtection="0"/>
    <xf numFmtId="282" fontId="8" fillId="0" borderId="0" applyFont="0" applyFill="0" applyBorder="0" applyAlignment="0" applyProtection="0"/>
    <xf numFmtId="168" fontId="218" fillId="0" borderId="0" applyFont="0" applyFill="0" applyBorder="0" applyAlignment="0" applyProtection="0"/>
    <xf numFmtId="168" fontId="218" fillId="0" borderId="0" applyFont="0" applyFill="0" applyBorder="0" applyAlignment="0" applyProtection="0"/>
    <xf numFmtId="168" fontId="218" fillId="0" borderId="0" applyFont="0" applyFill="0" applyBorder="0" applyAlignment="0" applyProtection="0"/>
    <xf numFmtId="168" fontId="218" fillId="0" borderId="0" applyFont="0" applyFill="0" applyBorder="0" applyAlignment="0" applyProtection="0"/>
    <xf numFmtId="175" fontId="218" fillId="0" borderId="0" applyFont="0" applyFill="0" applyBorder="0" applyAlignment="0" applyProtection="0"/>
    <xf numFmtId="175" fontId="218" fillId="0" borderId="0" applyFont="0" applyFill="0" applyBorder="0" applyAlignment="0" applyProtection="0"/>
    <xf numFmtId="175" fontId="218" fillId="0" borderId="0" applyFont="0" applyFill="0" applyBorder="0" applyAlignment="0" applyProtection="0"/>
    <xf numFmtId="280" fontId="5" fillId="0" borderId="0" applyFont="0" applyFill="0" applyBorder="0" applyAlignment="0" applyProtection="0"/>
    <xf numFmtId="283" fontId="2" fillId="0" borderId="0" applyFont="0" applyFill="0" applyBorder="0" applyAlignment="0" applyProtection="0"/>
    <xf numFmtId="283" fontId="2" fillId="0" borderId="0" applyFont="0" applyFill="0" applyBorder="0" applyAlignment="0" applyProtection="0"/>
    <xf numFmtId="183" fontId="8" fillId="0" borderId="0" applyFont="0" applyFill="0" applyBorder="0" applyAlignment="0" applyProtection="0"/>
    <xf numFmtId="283" fontId="8" fillId="0" borderId="0" applyFont="0" applyFill="0" applyBorder="0" applyAlignment="0" applyProtection="0"/>
    <xf numFmtId="168" fontId="218" fillId="0" borderId="0" applyFont="0" applyFill="0" applyBorder="0" applyAlignment="0" applyProtection="0"/>
    <xf numFmtId="168" fontId="218" fillId="0" borderId="0" applyFont="0" applyFill="0" applyBorder="0" applyAlignment="0" applyProtection="0"/>
    <xf numFmtId="168" fontId="218" fillId="0" borderId="0" applyFont="0" applyFill="0" applyBorder="0" applyAlignment="0" applyProtection="0"/>
    <xf numFmtId="168" fontId="218" fillId="0" borderId="0" applyFont="0" applyFill="0" applyBorder="0" applyAlignment="0" applyProtection="0"/>
    <xf numFmtId="168" fontId="218" fillId="0" borderId="0" applyFont="0" applyFill="0" applyBorder="0" applyAlignment="0" applyProtection="0"/>
    <xf numFmtId="168" fontId="218" fillId="0" borderId="0" applyFont="0" applyFill="0" applyBorder="0" applyAlignment="0" applyProtection="0"/>
    <xf numFmtId="168" fontId="218" fillId="0" borderId="0" applyFont="0" applyFill="0" applyBorder="0" applyAlignment="0" applyProtection="0"/>
    <xf numFmtId="175" fontId="171" fillId="0" borderId="0" applyFont="0" applyFill="0" applyBorder="0" applyAlignment="0" applyProtection="0"/>
    <xf numFmtId="175" fontId="171" fillId="0" borderId="0" applyFont="0" applyFill="0" applyBorder="0" applyAlignment="0" applyProtection="0"/>
    <xf numFmtId="175" fontId="171" fillId="0" borderId="0" applyFont="0" applyFill="0" applyBorder="0" applyAlignment="0" applyProtection="0"/>
    <xf numFmtId="175" fontId="171" fillId="0" borderId="0" applyFont="0" applyFill="0" applyBorder="0" applyAlignment="0" applyProtection="0"/>
    <xf numFmtId="175" fontId="171" fillId="0" borderId="0" applyFont="0" applyFill="0" applyBorder="0" applyAlignment="0" applyProtection="0"/>
    <xf numFmtId="175" fontId="171" fillId="0" borderId="0" applyFont="0" applyFill="0" applyBorder="0" applyAlignment="0" applyProtection="0"/>
    <xf numFmtId="215" fontId="3" fillId="0" borderId="0" applyFont="0" applyFill="0" applyBorder="0" applyAlignment="0" applyProtection="0"/>
    <xf numFmtId="175" fontId="17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43" fontId="218" fillId="0" borderId="0" applyFont="0" applyFill="0" applyBorder="0" applyAlignment="0" applyProtection="0"/>
    <xf numFmtId="43" fontId="218" fillId="0" borderId="0" applyFont="0" applyFill="0" applyBorder="0" applyAlignment="0" applyProtection="0"/>
    <xf numFmtId="43" fontId="218" fillId="0" borderId="0" applyFont="0" applyFill="0" applyBorder="0" applyAlignment="0" applyProtection="0"/>
    <xf numFmtId="164" fontId="2" fillId="0" borderId="0" applyFont="0" applyFill="0" applyBorder="0" applyAlignment="0" applyProtection="0"/>
    <xf numFmtId="185" fontId="8" fillId="0" borderId="0" applyFont="0" applyFill="0" applyBorder="0" applyAlignment="0" applyProtection="0"/>
    <xf numFmtId="167" fontId="2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81" fontId="225" fillId="0" borderId="0" applyFont="0" applyFill="0" applyBorder="0" applyAlignment="0" applyProtection="0"/>
    <xf numFmtId="175" fontId="171" fillId="0" borderId="0" applyFont="0" applyFill="0" applyBorder="0" applyAlignment="0" applyProtection="0"/>
    <xf numFmtId="168" fontId="171" fillId="0" borderId="0" applyFont="0" applyFill="0" applyBorder="0" applyAlignment="0" applyProtection="0"/>
    <xf numFmtId="175" fontId="171"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284" fontId="8" fillId="0" borderId="0" applyFont="0" applyFill="0" applyBorder="0" applyAlignment="0" applyProtection="0"/>
    <xf numFmtId="284" fontId="8" fillId="0" borderId="0" applyFont="0" applyFill="0" applyBorder="0" applyAlignment="0" applyProtection="0"/>
    <xf numFmtId="284"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43" fontId="232" fillId="0" borderId="0" applyFont="0" applyFill="0" applyBorder="0" applyAlignment="0" applyProtection="0"/>
    <xf numFmtId="43" fontId="23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285" fontId="70" fillId="0" borderId="0">
      <protection locked="0"/>
    </xf>
    <xf numFmtId="285" fontId="70" fillId="0" borderId="0">
      <protection locked="0"/>
    </xf>
    <xf numFmtId="0" fontId="233" fillId="0" borderId="0"/>
    <xf numFmtId="4" fontId="68" fillId="0" borderId="0">
      <protection locked="0"/>
    </xf>
    <xf numFmtId="286" fontId="68" fillId="0" borderId="0">
      <protection locked="0"/>
    </xf>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87" fontId="46" fillId="0" borderId="0" applyFont="0" applyFill="0" applyBorder="0" applyAlignment="0" applyProtection="0"/>
    <xf numFmtId="288" fontId="68" fillId="0" borderId="0">
      <protection locked="0"/>
    </xf>
    <xf numFmtId="0" fontId="56" fillId="0" borderId="0"/>
    <xf numFmtId="0" fontId="225" fillId="0" borderId="0"/>
    <xf numFmtId="0" fontId="234" fillId="0" borderId="0"/>
    <xf numFmtId="0" fontId="218" fillId="0" borderId="0"/>
    <xf numFmtId="0" fontId="218" fillId="0" borderId="0"/>
    <xf numFmtId="0" fontId="218" fillId="0" borderId="0"/>
    <xf numFmtId="0" fontId="218" fillId="0" borderId="0"/>
    <xf numFmtId="0" fontId="218" fillId="0" borderId="0"/>
    <xf numFmtId="0" fontId="218" fillId="0" borderId="0"/>
    <xf numFmtId="0" fontId="218" fillId="0" borderId="0"/>
    <xf numFmtId="0" fontId="218" fillId="0" borderId="0"/>
    <xf numFmtId="0" fontId="218" fillId="0" borderId="0"/>
    <xf numFmtId="0" fontId="218" fillId="0" borderId="0"/>
    <xf numFmtId="0" fontId="218" fillId="0" borderId="0"/>
    <xf numFmtId="0" fontId="14" fillId="0" borderId="0"/>
    <xf numFmtId="0" fontId="225" fillId="0" borderId="0"/>
    <xf numFmtId="0" fontId="1" fillId="0" borderId="0"/>
    <xf numFmtId="0" fontId="1" fillId="0" borderId="0"/>
    <xf numFmtId="0" fontId="1" fillId="0" borderId="0"/>
    <xf numFmtId="0" fontId="8" fillId="0" borderId="0"/>
    <xf numFmtId="0" fontId="2" fillId="0" borderId="0"/>
    <xf numFmtId="0" fontId="6" fillId="0" borderId="0"/>
    <xf numFmtId="0" fontId="3" fillId="0" borderId="0"/>
    <xf numFmtId="0" fontId="235" fillId="0" borderId="0"/>
    <xf numFmtId="0" fontId="8" fillId="0" borderId="0"/>
    <xf numFmtId="0" fontId="7" fillId="0" borderId="0"/>
    <xf numFmtId="0" fontId="8" fillId="0" borderId="0"/>
    <xf numFmtId="0" fontId="8" fillId="0" borderId="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32" fillId="0" borderId="0" applyFont="0" applyFill="0" applyBorder="0" applyAlignment="0" applyProtection="0"/>
    <xf numFmtId="9" fontId="232" fillId="0" borderId="0" applyFont="0" applyFill="0" applyBorder="0" applyAlignment="0" applyProtection="0"/>
    <xf numFmtId="9" fontId="14" fillId="0" borderId="0" applyFont="0" applyFill="0" applyBorder="0" applyAlignment="0" applyProtection="0"/>
    <xf numFmtId="289" fontId="68" fillId="0" borderId="0">
      <protection locked="0"/>
    </xf>
    <xf numFmtId="0" fontId="236" fillId="0" borderId="66" applyNumberFormat="0" applyFill="0" applyBorder="0" applyAlignment="0" applyProtection="0"/>
    <xf numFmtId="280" fontId="21" fillId="0" borderId="0" applyFont="0" applyFill="0" applyBorder="0" applyAlignment="0" applyProtection="0"/>
    <xf numFmtId="187" fontId="21" fillId="0" borderId="0" applyFont="0" applyFill="0" applyBorder="0" applyAlignment="0" applyProtection="0"/>
    <xf numFmtId="279" fontId="21"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276" fontId="21" fillId="0" borderId="0" applyFont="0" applyFill="0" applyBorder="0" applyAlignment="0" applyProtection="0"/>
    <xf numFmtId="276" fontId="21" fillId="0" borderId="0" applyFont="0" applyFill="0" applyBorder="0" applyAlignment="0" applyProtection="0"/>
    <xf numFmtId="187" fontId="21" fillId="0" borderId="0" applyFont="0" applyFill="0" applyBorder="0" applyAlignment="0" applyProtection="0"/>
    <xf numFmtId="276" fontId="21" fillId="0" borderId="0" applyFont="0" applyFill="0" applyBorder="0" applyAlignment="0" applyProtection="0"/>
    <xf numFmtId="187" fontId="21" fillId="0" borderId="0" applyFont="0" applyFill="0" applyBorder="0" applyAlignment="0" applyProtection="0"/>
    <xf numFmtId="281" fontId="21" fillId="0" borderId="0" applyFont="0" applyFill="0" applyBorder="0" applyAlignment="0" applyProtection="0"/>
    <xf numFmtId="165" fontId="21" fillId="0" borderId="0" applyFont="0" applyFill="0" applyBorder="0" applyAlignment="0" applyProtection="0"/>
    <xf numFmtId="192" fontId="9" fillId="0" borderId="0" applyFont="0" applyFill="0" applyBorder="0" applyAlignment="0" applyProtection="0"/>
    <xf numFmtId="265" fontId="21" fillId="0" borderId="0" applyFont="0" applyFill="0" applyBorder="0" applyAlignment="0" applyProtection="0"/>
    <xf numFmtId="266" fontId="21" fillId="0" borderId="0" applyFont="0" applyFill="0" applyBorder="0" applyAlignment="0" applyProtection="0"/>
    <xf numFmtId="265" fontId="21" fillId="0" borderId="0" applyFont="0" applyFill="0" applyBorder="0" applyAlignment="0" applyProtection="0"/>
    <xf numFmtId="165" fontId="21" fillId="0" borderId="0" applyFont="0" applyFill="0" applyBorder="0" applyAlignment="0" applyProtection="0"/>
    <xf numFmtId="265" fontId="21" fillId="0" borderId="0" applyFont="0" applyFill="0" applyBorder="0" applyAlignment="0" applyProtection="0"/>
    <xf numFmtId="192" fontId="21" fillId="0" borderId="0" applyFont="0" applyFill="0" applyBorder="0" applyAlignment="0" applyProtection="0"/>
    <xf numFmtId="290" fontId="237" fillId="0" borderId="0" applyFont="0" applyFill="0" applyBorder="0" applyAlignment="0" applyProtection="0"/>
    <xf numFmtId="274" fontId="21" fillId="0" borderId="0" applyFont="0" applyFill="0" applyBorder="0" applyAlignment="0" applyProtection="0"/>
    <xf numFmtId="192" fontId="21" fillId="0" borderId="0" applyFont="0" applyFill="0" applyBorder="0" applyAlignment="0" applyProtection="0"/>
    <xf numFmtId="275" fontId="21" fillId="0" borderId="0" applyFont="0" applyFill="0" applyBorder="0" applyAlignment="0" applyProtection="0"/>
    <xf numFmtId="239" fontId="46" fillId="0" borderId="56">
      <alignment horizontal="right" vertical="center"/>
    </xf>
    <xf numFmtId="239" fontId="46" fillId="0" borderId="56">
      <alignment horizontal="right" vertical="center"/>
    </xf>
    <xf numFmtId="44" fontId="232" fillId="0" borderId="0" applyFont="0" applyFill="0" applyBorder="0" applyAlignment="0" applyProtection="0"/>
    <xf numFmtId="44" fontId="232" fillId="0" borderId="0" applyFont="0" applyFill="0" applyBorder="0" applyAlignment="0" applyProtection="0"/>
    <xf numFmtId="0" fontId="13" fillId="0" borderId="0"/>
    <xf numFmtId="0" fontId="23" fillId="0" borderId="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9" fillId="16"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30" borderId="0" applyNumberFormat="0" applyBorder="0" applyAlignment="0" applyProtection="0"/>
    <xf numFmtId="0" fontId="161" fillId="7" borderId="0" applyNumberFormat="0" applyBorder="0" applyAlignment="0" applyProtection="0"/>
    <xf numFmtId="0" fontId="140" fillId="20" borderId="24" applyNumberFormat="0" applyAlignment="0" applyProtection="0"/>
    <xf numFmtId="0" fontId="98" fillId="26" borderId="36" applyNumberFormat="0" applyAlignment="0" applyProtection="0"/>
    <xf numFmtId="168"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83" fontId="225" fillId="0" borderId="0" applyFont="0" applyFill="0" applyBorder="0" applyAlignment="0" applyProtection="0"/>
    <xf numFmtId="0" fontId="150" fillId="0" borderId="0" applyNumberFormat="0" applyFill="0" applyBorder="0" applyAlignment="0" applyProtection="0"/>
    <xf numFmtId="0" fontId="146" fillId="8" borderId="0" applyNumberFormat="0" applyBorder="0" applyAlignment="0" applyProtection="0"/>
    <xf numFmtId="0" fontId="65" fillId="0" borderId="25" applyNumberFormat="0" applyFill="0" applyAlignment="0" applyProtection="0"/>
    <xf numFmtId="0" fontId="66" fillId="0" borderId="26" applyNumberFormat="0" applyFill="0" applyAlignment="0" applyProtection="0"/>
    <xf numFmtId="0" fontId="67" fillId="0" borderId="27" applyNumberFormat="0" applyFill="0" applyAlignment="0" applyProtection="0"/>
    <xf numFmtId="0" fontId="67" fillId="0" borderId="0" applyNumberFormat="0" applyFill="0" applyBorder="0" applyAlignment="0" applyProtection="0"/>
    <xf numFmtId="0" fontId="63" fillId="11" borderId="24" applyNumberFormat="0" applyAlignment="0" applyProtection="0"/>
    <xf numFmtId="0" fontId="3" fillId="0" borderId="0"/>
    <xf numFmtId="0" fontId="61" fillId="0" borderId="0"/>
    <xf numFmtId="0" fontId="112" fillId="0" borderId="38" applyNumberFormat="0" applyFill="0" applyAlignment="0" applyProtection="0"/>
    <xf numFmtId="0" fontId="147" fillId="46" borderId="0" applyNumberFormat="0" applyBorder="0" applyAlignment="0" applyProtection="0"/>
    <xf numFmtId="0" fontId="8" fillId="0" borderId="0"/>
    <xf numFmtId="0" fontId="265" fillId="0" borderId="0"/>
    <xf numFmtId="0" fontId="1" fillId="0" borderId="0"/>
    <xf numFmtId="0" fontId="169" fillId="0" borderId="0"/>
    <xf numFmtId="0" fontId="2" fillId="0" borderId="0"/>
    <xf numFmtId="0" fontId="8" fillId="22" borderId="31" applyNumberFormat="0" applyFont="0" applyAlignment="0" applyProtection="0"/>
    <xf numFmtId="0" fontId="62" fillId="20" borderId="23" applyNumberFormat="0" applyAlignment="0" applyProtection="0"/>
    <xf numFmtId="9" fontId="6" fillId="0" borderId="0" applyFont="0" applyFill="0" applyBorder="0" applyAlignment="0" applyProtection="0"/>
    <xf numFmtId="0" fontId="7" fillId="0" borderId="5">
      <alignment horizontal="center"/>
    </xf>
    <xf numFmtId="0" fontId="13" fillId="0" borderId="0"/>
    <xf numFmtId="0" fontId="139" fillId="0" borderId="0" applyNumberFormat="0" applyFill="0" applyBorder="0" applyAlignment="0" applyProtection="0"/>
    <xf numFmtId="0" fontId="144" fillId="0" borderId="46" applyNumberFormat="0" applyFill="0" applyAlignment="0" applyProtection="0"/>
    <xf numFmtId="0" fontId="149" fillId="0" borderId="0" applyNumberFormat="0" applyFill="0" applyBorder="0" applyAlignment="0" applyProtection="0"/>
    <xf numFmtId="0" fontId="2" fillId="0" borderId="0"/>
    <xf numFmtId="0" fontId="2" fillId="0" borderId="0"/>
    <xf numFmtId="0" fontId="2" fillId="0" borderId="0"/>
    <xf numFmtId="292" fontId="2" fillId="0" borderId="0" applyFont="0" applyFill="0" applyBorder="0" applyAlignment="0" applyProtection="0"/>
    <xf numFmtId="0" fontId="268" fillId="0" borderId="0"/>
    <xf numFmtId="0" fontId="2" fillId="0" borderId="0"/>
    <xf numFmtId="0" fontId="235" fillId="0" borderId="0"/>
    <xf numFmtId="0" fontId="109" fillId="0" borderId="0"/>
  </cellStyleXfs>
  <cellXfs count="2034">
    <xf numFmtId="0" fontId="0" fillId="0" borderId="0" xfId="0"/>
    <xf numFmtId="3" fontId="42" fillId="0" borderId="0" xfId="0" applyNumberFormat="1" applyFont="1" applyFill="1" applyAlignment="1">
      <alignment vertical="center"/>
    </xf>
    <xf numFmtId="3" fontId="172" fillId="0" borderId="0" xfId="0" applyNumberFormat="1" applyFont="1" applyFill="1" applyAlignment="1">
      <alignment vertical="center"/>
    </xf>
    <xf numFmtId="3" fontId="173" fillId="0" borderId="0" xfId="0" applyNumberFormat="1" applyFont="1" applyFill="1" applyAlignment="1">
      <alignment vertical="center"/>
    </xf>
    <xf numFmtId="3" fontId="174" fillId="0" borderId="0" xfId="0" applyNumberFormat="1" applyFont="1" applyFill="1" applyAlignment="1">
      <alignment vertical="center"/>
    </xf>
    <xf numFmtId="3" fontId="175" fillId="3" borderId="0" xfId="0" applyNumberFormat="1" applyFont="1" applyFill="1" applyAlignment="1">
      <alignment vertical="center"/>
    </xf>
    <xf numFmtId="3" fontId="177" fillId="3" borderId="0" xfId="0" applyNumberFormat="1" applyFont="1" applyFill="1" applyAlignment="1">
      <alignment vertical="center"/>
    </xf>
    <xf numFmtId="3" fontId="178" fillId="0" borderId="0" xfId="0" applyNumberFormat="1" applyFont="1" applyFill="1" applyAlignment="1">
      <alignment vertical="center"/>
    </xf>
    <xf numFmtId="3" fontId="180" fillId="0" borderId="0" xfId="0" applyNumberFormat="1" applyFont="1" applyFill="1" applyAlignment="1">
      <alignment vertical="center"/>
    </xf>
    <xf numFmtId="3" fontId="176" fillId="3" borderId="0" xfId="0" applyNumberFormat="1" applyFont="1" applyFill="1" applyAlignment="1">
      <alignment vertical="center"/>
    </xf>
    <xf numFmtId="3" fontId="181" fillId="0" borderId="0" xfId="0" applyNumberFormat="1" applyFont="1" applyFill="1" applyAlignment="1">
      <alignment vertical="center"/>
    </xf>
    <xf numFmtId="3" fontId="184" fillId="0" borderId="0" xfId="0" applyNumberFormat="1" applyFont="1" applyFill="1" applyAlignment="1">
      <alignment vertical="center"/>
    </xf>
    <xf numFmtId="3" fontId="184" fillId="0" borderId="0" xfId="0" applyNumberFormat="1" applyFont="1" applyFill="1" applyAlignment="1">
      <alignment horizontal="center" vertical="center"/>
    </xf>
    <xf numFmtId="3" fontId="188" fillId="0" borderId="0" xfId="0" applyNumberFormat="1" applyFont="1" applyFill="1" applyAlignment="1">
      <alignment vertical="center"/>
    </xf>
    <xf numFmtId="3" fontId="180" fillId="0" borderId="16" xfId="0" applyNumberFormat="1" applyFont="1" applyFill="1" applyBorder="1" applyAlignment="1">
      <alignment horizontal="right" vertical="center"/>
    </xf>
    <xf numFmtId="3" fontId="177" fillId="0" borderId="0" xfId="0" applyNumberFormat="1" applyFont="1" applyFill="1" applyAlignment="1">
      <alignment vertical="center"/>
    </xf>
    <xf numFmtId="3" fontId="187" fillId="0" borderId="0" xfId="0" applyNumberFormat="1" applyFont="1" applyFill="1" applyAlignment="1">
      <alignment vertical="center"/>
    </xf>
    <xf numFmtId="3" fontId="189" fillId="0" borderId="0" xfId="0" applyNumberFormat="1" applyFont="1" applyFill="1" applyAlignment="1">
      <alignment vertical="center"/>
    </xf>
    <xf numFmtId="3" fontId="190" fillId="0" borderId="0" xfId="0" applyNumberFormat="1" applyFont="1" applyFill="1" applyAlignment="1">
      <alignment vertical="center"/>
    </xf>
    <xf numFmtId="3" fontId="190" fillId="54" borderId="0" xfId="0" applyNumberFormat="1" applyFont="1" applyFill="1" applyAlignment="1">
      <alignment vertical="center"/>
    </xf>
    <xf numFmtId="3" fontId="180" fillId="55" borderId="0" xfId="0" applyNumberFormat="1" applyFont="1" applyFill="1" applyAlignment="1">
      <alignment vertical="center"/>
    </xf>
    <xf numFmtId="3" fontId="186" fillId="0" borderId="0" xfId="0" applyNumberFormat="1" applyFont="1" applyFill="1" applyAlignment="1">
      <alignment horizontal="center" vertical="center"/>
    </xf>
    <xf numFmtId="3" fontId="176" fillId="51" borderId="0" xfId="0" applyNumberFormat="1" applyFont="1" applyFill="1" applyAlignment="1">
      <alignment vertical="center"/>
    </xf>
    <xf numFmtId="3" fontId="180" fillId="52" borderId="0" xfId="0" applyNumberFormat="1" applyFont="1" applyFill="1" applyAlignment="1">
      <alignment vertical="center"/>
    </xf>
    <xf numFmtId="0" fontId="191" fillId="0" borderId="0" xfId="0" applyFont="1"/>
    <xf numFmtId="3" fontId="177" fillId="52" borderId="0" xfId="0" applyNumberFormat="1" applyFont="1" applyFill="1" applyBorder="1" applyAlignment="1">
      <alignment vertical="center"/>
    </xf>
    <xf numFmtId="3" fontId="177" fillId="52" borderId="0" xfId="0" applyNumberFormat="1" applyFont="1" applyFill="1" applyAlignment="1">
      <alignment vertical="center"/>
    </xf>
    <xf numFmtId="3" fontId="186" fillId="52" borderId="0" xfId="0" applyNumberFormat="1" applyFont="1" applyFill="1" applyBorder="1" applyAlignment="1">
      <alignment vertical="center"/>
    </xf>
    <xf numFmtId="3" fontId="186" fillId="52" borderId="0" xfId="0" applyNumberFormat="1" applyFont="1" applyFill="1" applyAlignment="1">
      <alignment vertical="center"/>
    </xf>
    <xf numFmtId="3" fontId="187" fillId="52" borderId="16" xfId="0" applyNumberFormat="1" applyFont="1" applyFill="1" applyBorder="1" applyAlignment="1">
      <alignment vertical="center"/>
    </xf>
    <xf numFmtId="3" fontId="187" fillId="52" borderId="0" xfId="0" applyNumberFormat="1" applyFont="1" applyFill="1" applyBorder="1" applyAlignment="1">
      <alignment vertical="center"/>
    </xf>
    <xf numFmtId="3" fontId="187" fillId="52" borderId="0" xfId="0" applyNumberFormat="1" applyFont="1" applyFill="1" applyAlignment="1">
      <alignment vertical="center"/>
    </xf>
    <xf numFmtId="3" fontId="187" fillId="52" borderId="3" xfId="0" applyNumberFormat="1" applyFont="1" applyFill="1" applyBorder="1" applyAlignment="1">
      <alignment vertical="center"/>
    </xf>
    <xf numFmtId="3" fontId="187" fillId="0" borderId="16" xfId="0" applyNumberFormat="1" applyFont="1" applyFill="1" applyBorder="1" applyAlignment="1">
      <alignment vertical="center"/>
    </xf>
    <xf numFmtId="3" fontId="172" fillId="52" borderId="0" xfId="0" applyNumberFormat="1" applyFont="1" applyFill="1" applyAlignment="1">
      <alignment vertical="center"/>
    </xf>
    <xf numFmtId="3" fontId="183" fillId="3" borderId="0" xfId="0" applyNumberFormat="1" applyFont="1" applyFill="1" applyAlignment="1">
      <alignment vertical="center"/>
    </xf>
    <xf numFmtId="4" fontId="184" fillId="52" borderId="0" xfId="0" applyNumberFormat="1" applyFont="1" applyFill="1" applyAlignment="1">
      <alignment horizontal="center" vertical="center"/>
    </xf>
    <xf numFmtId="3" fontId="184" fillId="52" borderId="0" xfId="0" applyNumberFormat="1" applyFont="1" applyFill="1" applyAlignment="1">
      <alignment vertical="center"/>
    </xf>
    <xf numFmtId="3" fontId="180" fillId="56" borderId="0" xfId="0" applyNumberFormat="1" applyFont="1" applyFill="1" applyAlignment="1">
      <alignment vertical="center"/>
    </xf>
    <xf numFmtId="3" fontId="180" fillId="0" borderId="54" xfId="0" applyNumberFormat="1" applyFont="1" applyFill="1" applyBorder="1" applyAlignment="1">
      <alignment horizontal="center" vertical="center"/>
    </xf>
    <xf numFmtId="3" fontId="184" fillId="0" borderId="54" xfId="968" applyNumberFormat="1" applyFont="1" applyFill="1" applyBorder="1" applyAlignment="1">
      <alignment horizontal="center" vertical="center" wrapText="1"/>
    </xf>
    <xf numFmtId="3" fontId="184" fillId="0" borderId="54" xfId="0" applyNumberFormat="1" applyFont="1" applyFill="1" applyBorder="1" applyAlignment="1">
      <alignment horizontal="center" vertical="center"/>
    </xf>
    <xf numFmtId="3" fontId="177" fillId="0" borderId="54" xfId="2" applyNumberFormat="1" applyFont="1" applyFill="1" applyBorder="1" applyAlignment="1">
      <alignment horizontal="center" vertical="center" wrapText="1"/>
    </xf>
    <xf numFmtId="3" fontId="180" fillId="0" borderId="54" xfId="968" applyNumberFormat="1" applyFont="1" applyFill="1" applyBorder="1" applyAlignment="1">
      <alignment horizontal="center" vertical="center" wrapText="1"/>
    </xf>
    <xf numFmtId="3" fontId="173" fillId="52" borderId="0" xfId="0" applyNumberFormat="1" applyFont="1" applyFill="1" applyAlignment="1">
      <alignment vertical="center"/>
    </xf>
    <xf numFmtId="261" fontId="187" fillId="0" borderId="0" xfId="0" applyNumberFormat="1" applyFont="1" applyFill="1" applyAlignment="1">
      <alignment vertical="center"/>
    </xf>
    <xf numFmtId="3" fontId="187" fillId="53" borderId="0" xfId="0" applyNumberFormat="1" applyFont="1" applyFill="1" applyAlignment="1">
      <alignment vertical="center"/>
    </xf>
    <xf numFmtId="3" fontId="187" fillId="54" borderId="0" xfId="0" applyNumberFormat="1" applyFont="1" applyFill="1" applyAlignment="1">
      <alignment vertical="center"/>
    </xf>
    <xf numFmtId="3" fontId="42" fillId="0" borderId="54" xfId="0" applyNumberFormat="1" applyFont="1" applyFill="1" applyBorder="1" applyAlignment="1">
      <alignment horizontal="center" vertical="center"/>
    </xf>
    <xf numFmtId="3" fontId="172" fillId="0" borderId="54" xfId="0" applyNumberFormat="1" applyFont="1" applyFill="1" applyBorder="1" applyAlignment="1">
      <alignment horizontal="center" vertical="center"/>
    </xf>
    <xf numFmtId="3" fontId="42" fillId="0" borderId="54" xfId="2" applyNumberFormat="1" applyFont="1" applyFill="1" applyBorder="1" applyAlignment="1">
      <alignment horizontal="justify" vertical="center" wrapText="1"/>
    </xf>
    <xf numFmtId="3" fontId="194" fillId="52" borderId="16" xfId="3" applyNumberFormat="1" applyFont="1" applyFill="1" applyBorder="1" applyAlignment="1" applyProtection="1">
      <alignment horizontal="center" vertical="center" wrapText="1"/>
    </xf>
    <xf numFmtId="3" fontId="196" fillId="0" borderId="54" xfId="0" applyNumberFormat="1" applyFont="1" applyFill="1" applyBorder="1" applyAlignment="1">
      <alignment vertical="center"/>
    </xf>
    <xf numFmtId="3" fontId="42" fillId="0" borderId="54" xfId="0" applyNumberFormat="1" applyFont="1" applyFill="1" applyBorder="1" applyAlignment="1">
      <alignment vertical="center"/>
    </xf>
    <xf numFmtId="0" fontId="198" fillId="0" borderId="54" xfId="0" applyFont="1" applyFill="1" applyBorder="1" applyAlignment="1">
      <alignment vertical="center" wrapText="1"/>
    </xf>
    <xf numFmtId="180" fontId="42" fillId="0" borderId="54" xfId="962" applyNumberFormat="1" applyFont="1" applyFill="1" applyBorder="1" applyAlignment="1">
      <alignment vertical="center" wrapText="1"/>
    </xf>
    <xf numFmtId="180" fontId="172" fillId="0" borderId="54" xfId="968" applyNumberFormat="1" applyFont="1" applyFill="1" applyBorder="1" applyAlignment="1">
      <alignment vertical="center" wrapText="1"/>
    </xf>
    <xf numFmtId="3" fontId="42" fillId="0" borderId="54" xfId="0" applyNumberFormat="1" applyFont="1" applyFill="1" applyBorder="1" applyAlignment="1">
      <alignment horizontal="right" vertical="center"/>
    </xf>
    <xf numFmtId="180" fontId="172" fillId="0" borderId="54" xfId="966" applyNumberFormat="1" applyFont="1" applyFill="1" applyBorder="1" applyAlignment="1">
      <alignment vertical="center" wrapText="1"/>
    </xf>
    <xf numFmtId="3" fontId="172" fillId="0" borderId="54" xfId="0" applyNumberFormat="1" applyFont="1" applyFill="1" applyBorder="1" applyAlignment="1">
      <alignment horizontal="right" vertical="center"/>
    </xf>
    <xf numFmtId="180" fontId="42" fillId="0" borderId="54" xfId="966" applyNumberFormat="1" applyFont="1" applyFill="1" applyBorder="1" applyAlignment="1">
      <alignment vertical="center" wrapText="1"/>
    </xf>
    <xf numFmtId="173" fontId="42" fillId="0" borderId="54" xfId="998" applyNumberFormat="1" applyFont="1" applyFill="1" applyBorder="1" applyAlignment="1">
      <alignment horizontal="left" vertical="center" wrapText="1"/>
    </xf>
    <xf numFmtId="0" fontId="172" fillId="0" borderId="54" xfId="0" applyNumberFormat="1" applyFont="1" applyFill="1" applyBorder="1" applyAlignment="1">
      <alignment horizontal="left" vertical="center" wrapText="1"/>
    </xf>
    <xf numFmtId="173" fontId="42" fillId="0" borderId="54" xfId="968" applyNumberFormat="1" applyFont="1" applyFill="1" applyBorder="1" applyAlignment="1">
      <alignment horizontal="left" vertical="center" wrapText="1"/>
    </xf>
    <xf numFmtId="3" fontId="172" fillId="0" borderId="54" xfId="2" applyNumberFormat="1" applyFont="1" applyFill="1" applyBorder="1" applyAlignment="1">
      <alignment horizontal="left" vertical="center" wrapText="1"/>
    </xf>
    <xf numFmtId="3" fontId="175" fillId="0" borderId="0" xfId="0" applyNumberFormat="1" applyFont="1" applyFill="1" applyAlignment="1">
      <alignment vertical="center"/>
    </xf>
    <xf numFmtId="3" fontId="180" fillId="0" borderId="54" xfId="2" applyNumberFormat="1" applyFont="1" applyFill="1" applyBorder="1" applyAlignment="1">
      <alignment horizontal="center" vertical="center" wrapText="1"/>
    </xf>
    <xf numFmtId="3" fontId="187" fillId="51" borderId="0" xfId="0" applyNumberFormat="1" applyFont="1" applyFill="1" applyAlignment="1">
      <alignment vertical="center"/>
    </xf>
    <xf numFmtId="0" fontId="180" fillId="0" borderId="0" xfId="0" applyFont="1"/>
    <xf numFmtId="0" fontId="178" fillId="0" borderId="0" xfId="0" applyFont="1"/>
    <xf numFmtId="3" fontId="185" fillId="0" borderId="0" xfId="0" applyNumberFormat="1" applyFont="1" applyFill="1" applyAlignment="1">
      <alignment vertical="center"/>
    </xf>
    <xf numFmtId="4" fontId="172" fillId="52" borderId="0" xfId="0" applyNumberFormat="1" applyFont="1" applyFill="1" applyAlignment="1">
      <alignment horizontal="center" vertical="center"/>
    </xf>
    <xf numFmtId="3" fontId="42" fillId="52" borderId="0" xfId="0" applyNumberFormat="1" applyFont="1" applyFill="1" applyAlignment="1">
      <alignment vertical="center"/>
    </xf>
    <xf numFmtId="4" fontId="194" fillId="52" borderId="55" xfId="2" applyNumberFormat="1" applyFont="1" applyFill="1" applyBorder="1" applyAlignment="1">
      <alignment horizontal="center" vertical="center" wrapText="1"/>
    </xf>
    <xf numFmtId="4" fontId="194" fillId="52" borderId="5" xfId="2" applyNumberFormat="1" applyFont="1" applyFill="1" applyBorder="1" applyAlignment="1">
      <alignment horizontal="center" vertical="center" wrapText="1"/>
    </xf>
    <xf numFmtId="4" fontId="194" fillId="52" borderId="12" xfId="2" applyNumberFormat="1" applyFont="1" applyFill="1" applyBorder="1" applyAlignment="1">
      <alignment horizontal="center" vertical="center" wrapText="1"/>
    </xf>
    <xf numFmtId="3" fontId="196" fillId="52" borderId="1" xfId="3" applyNumberFormat="1" applyFont="1" applyFill="1" applyBorder="1" applyAlignment="1">
      <alignment horizontal="center" vertical="center" wrapText="1"/>
    </xf>
    <xf numFmtId="3" fontId="196" fillId="52" borderId="6" xfId="3" applyNumberFormat="1" applyFont="1" applyFill="1" applyBorder="1" applyAlignment="1">
      <alignment horizontal="center" vertical="center" wrapText="1"/>
    </xf>
    <xf numFmtId="3" fontId="196" fillId="52" borderId="11" xfId="3" applyNumberFormat="1" applyFont="1" applyFill="1" applyBorder="1" applyAlignment="1">
      <alignment horizontal="center" vertical="center" wrapText="1"/>
    </xf>
    <xf numFmtId="3" fontId="196" fillId="52" borderId="1" xfId="0" applyNumberFormat="1" applyFont="1" applyFill="1" applyBorder="1" applyAlignment="1">
      <alignment horizontal="center" vertical="center"/>
    </xf>
    <xf numFmtId="3" fontId="196" fillId="52" borderId="9" xfId="4" applyNumberFormat="1" applyFont="1" applyFill="1" applyBorder="1" applyAlignment="1">
      <alignment horizontal="center" vertical="center" wrapText="1"/>
    </xf>
    <xf numFmtId="3" fontId="196" fillId="52" borderId="1" xfId="4" applyNumberFormat="1" applyFont="1" applyFill="1" applyBorder="1" applyAlignment="1">
      <alignment horizontal="center" vertical="center" wrapText="1"/>
    </xf>
    <xf numFmtId="3" fontId="172" fillId="0" borderId="0" xfId="0" applyNumberFormat="1" applyFont="1" applyFill="1" applyAlignment="1">
      <alignment horizontal="center" vertical="center"/>
    </xf>
    <xf numFmtId="4" fontId="201" fillId="52" borderId="12" xfId="2" applyNumberFormat="1" applyFont="1" applyFill="1" applyBorder="1" applyAlignment="1">
      <alignment horizontal="center" vertical="center" wrapText="1"/>
    </xf>
    <xf numFmtId="3" fontId="201" fillId="52" borderId="12" xfId="2" applyNumberFormat="1" applyFont="1" applyFill="1" applyBorder="1" applyAlignment="1">
      <alignment horizontal="center" vertical="center" wrapText="1"/>
    </xf>
    <xf numFmtId="3" fontId="201" fillId="52" borderId="11" xfId="3" applyNumberFormat="1" applyFont="1" applyFill="1" applyBorder="1" applyAlignment="1" applyProtection="1">
      <alignment horizontal="center" vertical="center" wrapText="1"/>
    </xf>
    <xf numFmtId="3" fontId="202" fillId="52" borderId="1" xfId="3" applyNumberFormat="1" applyFont="1" applyFill="1" applyBorder="1" applyAlignment="1">
      <alignment horizontal="center" vertical="center" wrapText="1"/>
    </xf>
    <xf numFmtId="3" fontId="202" fillId="52" borderId="1" xfId="0" applyNumberFormat="1" applyFont="1" applyFill="1" applyBorder="1" applyAlignment="1">
      <alignment horizontal="center" vertical="center"/>
    </xf>
    <xf numFmtId="3" fontId="202" fillId="52" borderId="9" xfId="4" applyNumberFormat="1" applyFont="1" applyFill="1" applyBorder="1" applyAlignment="1">
      <alignment horizontal="center" vertical="center" wrapText="1"/>
    </xf>
    <xf numFmtId="3" fontId="202" fillId="52" borderId="1" xfId="4" applyNumberFormat="1" applyFont="1" applyFill="1" applyBorder="1" applyAlignment="1">
      <alignment horizontal="center" vertical="center" wrapText="1"/>
    </xf>
    <xf numFmtId="3" fontId="201" fillId="0" borderId="0" xfId="0" applyNumberFormat="1" applyFont="1" applyFill="1" applyAlignment="1">
      <alignment horizontal="center" vertical="center"/>
    </xf>
    <xf numFmtId="3" fontId="194" fillId="52" borderId="12" xfId="2" applyNumberFormat="1" applyFont="1" applyFill="1" applyBorder="1" applyAlignment="1">
      <alignment horizontal="center" vertical="center" wrapText="1"/>
    </xf>
    <xf numFmtId="3" fontId="172" fillId="2" borderId="0" xfId="0" applyNumberFormat="1" applyFont="1" applyFill="1" applyAlignment="1">
      <alignment horizontal="center" vertical="center"/>
    </xf>
    <xf numFmtId="1" fontId="183" fillId="52" borderId="16" xfId="2" applyNumberFormat="1" applyFont="1" applyFill="1" applyBorder="1" applyAlignment="1">
      <alignment horizontal="left" vertical="center" wrapText="1"/>
    </xf>
    <xf numFmtId="2" fontId="183" fillId="52" borderId="54" xfId="2" applyNumberFormat="1" applyFont="1" applyFill="1" applyBorder="1" applyAlignment="1">
      <alignment horizontal="left" vertical="center" wrapText="1"/>
    </xf>
    <xf numFmtId="3" fontId="183" fillId="52" borderId="16" xfId="2" applyNumberFormat="1" applyFont="1" applyFill="1" applyBorder="1" applyAlignment="1">
      <alignment horizontal="center" vertical="center" wrapText="1"/>
    </xf>
    <xf numFmtId="3" fontId="183" fillId="52" borderId="16" xfId="0" applyNumberFormat="1" applyFont="1" applyFill="1" applyBorder="1" applyAlignment="1">
      <alignment vertical="center"/>
    </xf>
    <xf numFmtId="2" fontId="173" fillId="52" borderId="16" xfId="2" applyNumberFormat="1" applyFont="1" applyFill="1" applyBorder="1" applyAlignment="1">
      <alignment horizontal="left" vertical="center" wrapText="1"/>
    </xf>
    <xf numFmtId="2" fontId="173" fillId="52" borderId="54" xfId="2" applyNumberFormat="1" applyFont="1" applyFill="1" applyBorder="1" applyAlignment="1">
      <alignment horizontal="left" vertical="center" wrapText="1"/>
    </xf>
    <xf numFmtId="3" fontId="173" fillId="52" borderId="16" xfId="2" applyNumberFormat="1" applyFont="1" applyFill="1" applyBorder="1" applyAlignment="1">
      <alignment horizontal="left" vertical="center" wrapText="1"/>
    </xf>
    <xf numFmtId="3" fontId="173" fillId="52" borderId="16" xfId="3" applyNumberFormat="1" applyFont="1" applyFill="1" applyBorder="1" applyAlignment="1" applyProtection="1">
      <alignment horizontal="center" vertical="center" wrapText="1"/>
    </xf>
    <xf numFmtId="3" fontId="173" fillId="52" borderId="16" xfId="0" applyNumberFormat="1" applyFont="1" applyFill="1" applyBorder="1" applyAlignment="1">
      <alignment vertical="center"/>
    </xf>
    <xf numFmtId="2" fontId="42" fillId="52" borderId="16" xfId="2" applyNumberFormat="1" applyFont="1" applyFill="1" applyBorder="1" applyAlignment="1">
      <alignment horizontal="left" vertical="center" wrapText="1"/>
    </xf>
    <xf numFmtId="2" fontId="42" fillId="52" borderId="54" xfId="2" applyNumberFormat="1" applyFont="1" applyFill="1" applyBorder="1" applyAlignment="1">
      <alignment horizontal="left" vertical="center" wrapText="1"/>
    </xf>
    <xf numFmtId="3" fontId="42" fillId="52" borderId="16" xfId="2" applyNumberFormat="1" applyFont="1" applyFill="1" applyBorder="1" applyAlignment="1">
      <alignment horizontal="left" vertical="center" wrapText="1"/>
    </xf>
    <xf numFmtId="3" fontId="42" fillId="52" borderId="16" xfId="0" applyNumberFormat="1" applyFont="1" applyFill="1" applyBorder="1" applyAlignment="1">
      <alignment vertical="center"/>
    </xf>
    <xf numFmtId="3" fontId="172" fillId="52" borderId="16" xfId="2" applyNumberFormat="1" applyFont="1" applyFill="1" applyBorder="1" applyAlignment="1">
      <alignment horizontal="left" vertical="center" wrapText="1"/>
    </xf>
    <xf numFmtId="3" fontId="42" fillId="52" borderId="16" xfId="962" applyNumberFormat="1" applyFont="1" applyFill="1" applyBorder="1" applyAlignment="1">
      <alignment horizontal="right" vertical="center" wrapText="1"/>
    </xf>
    <xf numFmtId="262" fontId="42" fillId="52" borderId="16" xfId="962" applyNumberFormat="1" applyFont="1" applyFill="1" applyBorder="1" applyAlignment="1">
      <alignment horizontal="right" vertical="center" wrapText="1"/>
    </xf>
    <xf numFmtId="0" fontId="42" fillId="52" borderId="16" xfId="968" applyFont="1" applyFill="1" applyBorder="1" applyAlignment="1">
      <alignment vertical="center" wrapText="1"/>
    </xf>
    <xf numFmtId="3" fontId="202" fillId="52" borderId="16" xfId="0" applyNumberFormat="1" applyFont="1" applyFill="1" applyBorder="1" applyAlignment="1">
      <alignment horizontal="right" vertical="center"/>
    </xf>
    <xf numFmtId="180" fontId="42" fillId="52" borderId="16" xfId="962" applyNumberFormat="1" applyFont="1" applyFill="1" applyBorder="1" applyAlignment="1">
      <alignment vertical="center" wrapText="1"/>
    </xf>
    <xf numFmtId="180" fontId="172" fillId="52" borderId="16" xfId="968" applyNumberFormat="1" applyFont="1" applyFill="1" applyBorder="1" applyAlignment="1">
      <alignment vertical="center" wrapText="1"/>
    </xf>
    <xf numFmtId="180" fontId="172" fillId="52" borderId="16" xfId="966" applyNumberFormat="1" applyFont="1" applyFill="1" applyBorder="1" applyAlignment="1">
      <alignment vertical="center" wrapText="1"/>
    </xf>
    <xf numFmtId="180" fontId="172" fillId="52" borderId="16" xfId="0" applyNumberFormat="1" applyFont="1" applyFill="1" applyBorder="1" applyAlignment="1">
      <alignment horizontal="right" vertical="center" wrapText="1"/>
    </xf>
    <xf numFmtId="3" fontId="42" fillId="52" borderId="16" xfId="968" applyNumberFormat="1" applyFont="1" applyFill="1" applyBorder="1" applyAlignment="1">
      <alignment horizontal="right" vertical="center" wrapText="1"/>
    </xf>
    <xf numFmtId="180" fontId="172" fillId="52" borderId="16" xfId="962" applyNumberFormat="1" applyFont="1" applyFill="1" applyBorder="1" applyAlignment="1">
      <alignment vertical="center" wrapText="1"/>
    </xf>
    <xf numFmtId="180" fontId="42" fillId="52" borderId="16" xfId="966" applyNumberFormat="1" applyFont="1" applyFill="1" applyBorder="1" applyAlignment="1">
      <alignment vertical="center" wrapText="1"/>
    </xf>
    <xf numFmtId="259" fontId="42" fillId="52" borderId="16" xfId="962" applyNumberFormat="1" applyFont="1" applyFill="1" applyBorder="1" applyAlignment="1">
      <alignment horizontal="right" vertical="center" wrapText="1"/>
    </xf>
    <xf numFmtId="0" fontId="42" fillId="52" borderId="16" xfId="0" applyFont="1" applyFill="1" applyBorder="1" applyAlignment="1">
      <alignment vertical="center" wrapText="1"/>
    </xf>
    <xf numFmtId="2" fontId="172" fillId="52" borderId="16" xfId="2" applyNumberFormat="1" applyFont="1" applyFill="1" applyBorder="1" applyAlignment="1">
      <alignment horizontal="left" vertical="center" wrapText="1"/>
    </xf>
    <xf numFmtId="2" fontId="172" fillId="52" borderId="54" xfId="2" applyNumberFormat="1" applyFont="1" applyFill="1" applyBorder="1" applyAlignment="1">
      <alignment horizontal="left" vertical="center" wrapText="1"/>
    </xf>
    <xf numFmtId="3" fontId="42" fillId="52" borderId="16" xfId="0" applyNumberFormat="1" applyFont="1" applyFill="1" applyBorder="1" applyAlignment="1">
      <alignment horizontal="center" vertical="center"/>
    </xf>
    <xf numFmtId="3" fontId="196" fillId="52" borderId="16" xfId="0" applyNumberFormat="1" applyFont="1" applyFill="1" applyBorder="1" applyAlignment="1">
      <alignment vertical="center"/>
    </xf>
    <xf numFmtId="3" fontId="42" fillId="52" borderId="54" xfId="0" applyNumberFormat="1" applyFont="1" applyFill="1" applyBorder="1" applyAlignment="1">
      <alignment vertical="center"/>
    </xf>
    <xf numFmtId="3" fontId="196" fillId="52" borderId="54" xfId="0" applyNumberFormat="1" applyFont="1" applyFill="1" applyBorder="1" applyAlignment="1">
      <alignment vertical="center"/>
    </xf>
    <xf numFmtId="180" fontId="42" fillId="52" borderId="54" xfId="966" applyNumberFormat="1" applyFont="1" applyFill="1" applyBorder="1" applyAlignment="1">
      <alignment vertical="center" wrapText="1"/>
    </xf>
    <xf numFmtId="3" fontId="42" fillId="56" borderId="0" xfId="0" applyNumberFormat="1" applyFont="1" applyFill="1" applyAlignment="1">
      <alignment vertical="center"/>
    </xf>
    <xf numFmtId="180" fontId="196" fillId="52" borderId="54" xfId="966" applyNumberFormat="1" applyFont="1" applyFill="1" applyBorder="1" applyAlignment="1">
      <alignment vertical="center" wrapText="1"/>
    </xf>
    <xf numFmtId="3" fontId="183" fillId="52" borderId="16" xfId="2" applyNumberFormat="1" applyFont="1" applyFill="1" applyBorder="1" applyAlignment="1">
      <alignment horizontal="justify" vertical="center" wrapText="1"/>
    </xf>
    <xf numFmtId="3" fontId="183" fillId="52" borderId="16" xfId="3" applyNumberFormat="1" applyFont="1" applyFill="1" applyBorder="1" applyAlignment="1" applyProtection="1">
      <alignment horizontal="center" vertical="center" wrapText="1"/>
    </xf>
    <xf numFmtId="4" fontId="173" fillId="52" borderId="16" xfId="0" applyNumberFormat="1" applyFont="1" applyFill="1" applyBorder="1" applyAlignment="1">
      <alignment horizontal="center" vertical="center"/>
    </xf>
    <xf numFmtId="3" fontId="173" fillId="52" borderId="16" xfId="0" applyNumberFormat="1" applyFont="1" applyFill="1" applyBorder="1" applyAlignment="1">
      <alignment horizontal="justify" vertical="center"/>
    </xf>
    <xf numFmtId="3" fontId="42" fillId="52" borderId="16" xfId="0" applyNumberFormat="1" applyFont="1" applyFill="1" applyBorder="1" applyAlignment="1">
      <alignment horizontal="left" vertical="center" wrapText="1"/>
    </xf>
    <xf numFmtId="3" fontId="196" fillId="0" borderId="0" xfId="0" applyNumberFormat="1" applyFont="1" applyFill="1" applyAlignment="1">
      <alignment vertical="center"/>
    </xf>
    <xf numFmtId="3" fontId="42" fillId="52" borderId="16" xfId="0" applyNumberFormat="1" applyFont="1" applyFill="1" applyBorder="1" applyAlignment="1">
      <alignment horizontal="right" vertical="center"/>
    </xf>
    <xf numFmtId="180" fontId="42" fillId="52" borderId="16" xfId="962" applyNumberFormat="1" applyFont="1" applyFill="1" applyBorder="1" applyAlignment="1">
      <alignment horizontal="right" vertical="center" wrapText="1"/>
    </xf>
    <xf numFmtId="3" fontId="42" fillId="52" borderId="16" xfId="966" applyNumberFormat="1" applyFont="1" applyFill="1" applyBorder="1" applyAlignment="1">
      <alignment horizontal="right" vertical="center" wrapText="1"/>
    </xf>
    <xf numFmtId="3" fontId="42" fillId="52" borderId="16" xfId="968" applyNumberFormat="1" applyFont="1" applyFill="1" applyBorder="1" applyAlignment="1">
      <alignment vertical="center" wrapText="1"/>
    </xf>
    <xf numFmtId="259" fontId="42" fillId="52" borderId="16" xfId="968" applyNumberFormat="1" applyFont="1" applyFill="1" applyBorder="1" applyAlignment="1">
      <alignment horizontal="right" vertical="center" wrapText="1"/>
    </xf>
    <xf numFmtId="4" fontId="42" fillId="52" borderId="16" xfId="966" applyNumberFormat="1" applyFont="1" applyFill="1" applyBorder="1" applyAlignment="1">
      <alignment horizontal="right" vertical="center" wrapText="1"/>
    </xf>
    <xf numFmtId="4" fontId="173" fillId="52" borderId="16" xfId="968" applyNumberFormat="1" applyFont="1" applyFill="1" applyBorder="1" applyAlignment="1">
      <alignment horizontal="center" vertical="center" wrapText="1"/>
    </xf>
    <xf numFmtId="3" fontId="172" fillId="52" borderId="16" xfId="968" applyNumberFormat="1" applyFont="1" applyFill="1" applyBorder="1" applyAlignment="1">
      <alignment horizontal="center" vertical="center" wrapText="1"/>
    </xf>
    <xf numFmtId="258" fontId="42" fillId="52" borderId="16" xfId="0" applyNumberFormat="1" applyFont="1" applyFill="1" applyBorder="1" applyAlignment="1">
      <alignment horizontal="left" vertical="center" wrapText="1"/>
    </xf>
    <xf numFmtId="0" fontId="172" fillId="52" borderId="16" xfId="0" applyNumberFormat="1" applyFont="1" applyFill="1" applyBorder="1" applyAlignment="1">
      <alignment wrapText="1"/>
    </xf>
    <xf numFmtId="3" fontId="172" fillId="52" borderId="16" xfId="966" applyNumberFormat="1" applyFont="1" applyFill="1" applyBorder="1" applyAlignment="1">
      <alignment horizontal="right" vertical="center" wrapText="1"/>
    </xf>
    <xf numFmtId="180" fontId="42" fillId="52" borderId="16" xfId="1002" applyNumberFormat="1" applyFont="1" applyFill="1" applyBorder="1" applyAlignment="1">
      <alignment horizontal="right" vertical="center" wrapText="1"/>
    </xf>
    <xf numFmtId="3" fontId="172" fillId="52" borderId="16" xfId="968" applyNumberFormat="1" applyFont="1" applyFill="1" applyBorder="1" applyAlignment="1">
      <alignment horizontal="right" vertical="center" wrapText="1"/>
    </xf>
    <xf numFmtId="180" fontId="172" fillId="52" borderId="16" xfId="1002" applyNumberFormat="1" applyFont="1" applyFill="1" applyBorder="1" applyAlignment="1">
      <alignment horizontal="right" vertical="center" wrapText="1"/>
    </xf>
    <xf numFmtId="0" fontId="172" fillId="52" borderId="16" xfId="995" applyNumberFormat="1" applyFont="1" applyFill="1" applyBorder="1" applyAlignment="1">
      <alignment horizontal="left" vertical="center" wrapText="1"/>
    </xf>
    <xf numFmtId="180" fontId="202" fillId="52" borderId="16" xfId="1002" applyNumberFormat="1" applyFont="1" applyFill="1" applyBorder="1" applyAlignment="1">
      <alignment horizontal="right" vertical="center" wrapText="1"/>
    </xf>
    <xf numFmtId="3" fontId="201" fillId="52" borderId="16" xfId="968" applyNumberFormat="1" applyFont="1" applyFill="1" applyBorder="1" applyAlignment="1">
      <alignment horizontal="right" vertical="center" wrapText="1"/>
    </xf>
    <xf numFmtId="3" fontId="172" fillId="52" borderId="16" xfId="0" applyNumberFormat="1" applyFont="1" applyFill="1" applyBorder="1" applyAlignment="1">
      <alignment horizontal="right" vertical="center"/>
    </xf>
    <xf numFmtId="3" fontId="172" fillId="52" borderId="16" xfId="0" applyNumberFormat="1" applyFont="1" applyFill="1" applyBorder="1" applyAlignment="1">
      <alignment vertical="center" wrapText="1"/>
    </xf>
    <xf numFmtId="3" fontId="172" fillId="52" borderId="1" xfId="966" applyNumberFormat="1" applyFont="1" applyFill="1" applyBorder="1" applyAlignment="1">
      <alignment horizontal="right" vertical="center" wrapText="1"/>
    </xf>
    <xf numFmtId="3" fontId="172" fillId="52" borderId="0" xfId="966" applyNumberFormat="1" applyFont="1" applyFill="1" applyBorder="1" applyAlignment="1">
      <alignment horizontal="right" vertical="center" wrapText="1"/>
    </xf>
    <xf numFmtId="4" fontId="173" fillId="0" borderId="16" xfId="0" applyNumberFormat="1" applyFont="1" applyFill="1" applyBorder="1" applyAlignment="1">
      <alignment horizontal="center" vertical="center"/>
    </xf>
    <xf numFmtId="3" fontId="173" fillId="0" borderId="16" xfId="0" applyNumberFormat="1" applyFont="1" applyFill="1" applyBorder="1" applyAlignment="1">
      <alignment horizontal="justify" vertical="center"/>
    </xf>
    <xf numFmtId="3" fontId="173" fillId="51" borderId="16" xfId="0" applyNumberFormat="1" applyFont="1" applyFill="1" applyBorder="1" applyAlignment="1">
      <alignment vertical="center"/>
    </xf>
    <xf numFmtId="3" fontId="42" fillId="0" borderId="16" xfId="0" applyNumberFormat="1" applyFont="1" applyFill="1" applyBorder="1" applyAlignment="1">
      <alignment horizontal="center"/>
    </xf>
    <xf numFmtId="0" fontId="172" fillId="0" borderId="16" xfId="0" applyNumberFormat="1" applyFont="1" applyFill="1" applyBorder="1" applyAlignment="1">
      <alignment horizontal="left" vertical="center" wrapText="1"/>
    </xf>
    <xf numFmtId="3" fontId="172" fillId="0" borderId="16" xfId="0" applyNumberFormat="1" applyFont="1" applyFill="1" applyBorder="1" applyAlignment="1">
      <alignment horizontal="right"/>
    </xf>
    <xf numFmtId="3" fontId="42" fillId="0" borderId="16" xfId="0" applyNumberFormat="1" applyFont="1" applyFill="1" applyBorder="1" applyAlignment="1">
      <alignment horizontal="right" vertical="center"/>
    </xf>
    <xf numFmtId="3" fontId="172" fillId="52" borderId="16" xfId="0" applyNumberFormat="1" applyFont="1" applyFill="1" applyBorder="1" applyAlignment="1">
      <alignment horizontal="right" vertical="center" wrapText="1"/>
    </xf>
    <xf numFmtId="3" fontId="172" fillId="51" borderId="16" xfId="0" applyNumberFormat="1" applyFont="1" applyFill="1" applyBorder="1" applyAlignment="1">
      <alignment horizontal="right" vertical="center"/>
    </xf>
    <xf numFmtId="180" fontId="202" fillId="52" borderId="16" xfId="962" applyNumberFormat="1" applyFont="1" applyFill="1" applyBorder="1" applyAlignment="1">
      <alignment horizontal="right" vertical="center" wrapText="1"/>
    </xf>
    <xf numFmtId="3" fontId="201" fillId="52" borderId="16" xfId="966" applyNumberFormat="1" applyFont="1" applyFill="1" applyBorder="1" applyAlignment="1">
      <alignment horizontal="right" vertical="center" wrapText="1"/>
    </xf>
    <xf numFmtId="3" fontId="202" fillId="52" borderId="16" xfId="966" applyNumberFormat="1" applyFont="1" applyFill="1" applyBorder="1" applyAlignment="1">
      <alignment horizontal="right" vertical="center" wrapText="1"/>
    </xf>
    <xf numFmtId="0" fontId="172" fillId="0" borderId="16" xfId="994" applyNumberFormat="1" applyFont="1" applyFill="1" applyBorder="1" applyAlignment="1">
      <alignment horizontal="left" vertical="center" wrapText="1"/>
    </xf>
    <xf numFmtId="180" fontId="42" fillId="52" borderId="16" xfId="962" applyNumberFormat="1" applyFont="1" applyFill="1" applyBorder="1" applyAlignment="1">
      <alignment horizontal="right"/>
    </xf>
    <xf numFmtId="3" fontId="172" fillId="52" borderId="16" xfId="0" applyNumberFormat="1" applyFont="1" applyFill="1" applyBorder="1" applyAlignment="1">
      <alignment horizontal="right"/>
    </xf>
    <xf numFmtId="3" fontId="42" fillId="52" borderId="16" xfId="0" applyNumberFormat="1" applyFont="1" applyFill="1" applyBorder="1" applyAlignment="1">
      <alignment horizontal="right"/>
    </xf>
    <xf numFmtId="3" fontId="42" fillId="52" borderId="16" xfId="0" applyNumberFormat="1" applyFont="1" applyFill="1" applyBorder="1" applyAlignment="1">
      <alignment horizontal="center"/>
    </xf>
    <xf numFmtId="0" fontId="203" fillId="52" borderId="16" xfId="994" applyNumberFormat="1" applyFont="1" applyFill="1" applyBorder="1" applyAlignment="1">
      <alignment horizontal="left" vertical="center" wrapText="1"/>
    </xf>
    <xf numFmtId="0" fontId="172" fillId="52" borderId="16" xfId="994" applyNumberFormat="1" applyFont="1" applyFill="1" applyBorder="1" applyAlignment="1">
      <alignment horizontal="left" vertical="center" wrapText="1"/>
    </xf>
    <xf numFmtId="3" fontId="201" fillId="52" borderId="16" xfId="0" applyNumberFormat="1" applyFont="1" applyFill="1" applyBorder="1" applyAlignment="1">
      <alignment horizontal="right"/>
    </xf>
    <xf numFmtId="180" fontId="172" fillId="52" borderId="16" xfId="962" applyNumberFormat="1" applyFont="1" applyFill="1" applyBorder="1" applyAlignment="1">
      <alignment horizontal="right"/>
    </xf>
    <xf numFmtId="3" fontId="172" fillId="52" borderId="16" xfId="999" applyNumberFormat="1" applyFont="1" applyFill="1" applyBorder="1" applyAlignment="1">
      <alignment horizontal="right" vertical="center" wrapText="1"/>
    </xf>
    <xf numFmtId="180" fontId="172" fillId="52" borderId="16" xfId="962" applyNumberFormat="1" applyFont="1" applyFill="1" applyBorder="1" applyAlignment="1">
      <alignment horizontal="right" vertical="center" wrapText="1"/>
    </xf>
    <xf numFmtId="3" fontId="172" fillId="52" borderId="16" xfId="4" applyNumberFormat="1" applyFont="1" applyFill="1" applyBorder="1" applyAlignment="1">
      <alignment horizontal="right" vertical="center" wrapText="1"/>
    </xf>
    <xf numFmtId="0" fontId="172" fillId="52" borderId="16" xfId="994" applyNumberFormat="1" applyFont="1" applyFill="1" applyBorder="1" applyAlignment="1">
      <alignment vertical="center" wrapText="1"/>
    </xf>
    <xf numFmtId="3" fontId="201" fillId="52" borderId="16" xfId="4" applyNumberFormat="1" applyFont="1" applyFill="1" applyBorder="1" applyAlignment="1">
      <alignment horizontal="right" vertical="center" wrapText="1"/>
    </xf>
    <xf numFmtId="173" fontId="42" fillId="52" borderId="16" xfId="998" applyNumberFormat="1" applyFont="1" applyFill="1" applyBorder="1" applyAlignment="1">
      <alignment vertical="center" wrapText="1"/>
    </xf>
    <xf numFmtId="0" fontId="42" fillId="52" borderId="16" xfId="994" applyNumberFormat="1" applyFont="1" applyFill="1" applyBorder="1" applyAlignment="1">
      <alignment horizontal="left" vertical="center" wrapText="1"/>
    </xf>
    <xf numFmtId="3" fontId="204" fillId="52" borderId="16" xfId="4" applyNumberFormat="1" applyFont="1" applyFill="1" applyBorder="1" applyAlignment="1">
      <alignment horizontal="right" vertical="center" wrapText="1"/>
    </xf>
    <xf numFmtId="3" fontId="183" fillId="52" borderId="16" xfId="968" applyNumberFormat="1" applyFont="1" applyFill="1" applyBorder="1" applyAlignment="1">
      <alignment horizontal="center" vertical="center" wrapText="1"/>
    </xf>
    <xf numFmtId="3" fontId="173" fillId="52" borderId="16" xfId="0" applyNumberFormat="1" applyFont="1" applyFill="1" applyBorder="1" applyAlignment="1">
      <alignment horizontal="justify" vertical="center" wrapText="1"/>
    </xf>
    <xf numFmtId="0" fontId="42" fillId="52" borderId="16" xfId="994" applyNumberFormat="1" applyFont="1" applyFill="1" applyBorder="1" applyAlignment="1">
      <alignment vertical="center" wrapText="1"/>
    </xf>
    <xf numFmtId="3" fontId="42" fillId="52" borderId="16" xfId="3" applyNumberFormat="1" applyFont="1" applyFill="1" applyBorder="1" applyAlignment="1" applyProtection="1">
      <alignment horizontal="center" vertical="center" wrapText="1"/>
    </xf>
    <xf numFmtId="3" fontId="42" fillId="52" borderId="16" xfId="4" applyNumberFormat="1" applyFont="1" applyFill="1" applyBorder="1" applyAlignment="1">
      <alignment horizontal="right" vertical="center" wrapText="1"/>
    </xf>
    <xf numFmtId="3" fontId="42" fillId="52" borderId="16" xfId="994" applyNumberFormat="1" applyFont="1" applyFill="1" applyBorder="1" applyAlignment="1">
      <alignment horizontal="right" vertical="center" wrapText="1"/>
    </xf>
    <xf numFmtId="0" fontId="42" fillId="52" borderId="16" xfId="0" applyNumberFormat="1" applyFont="1" applyFill="1" applyBorder="1" applyAlignment="1">
      <alignment horizontal="left" vertical="center" wrapText="1"/>
    </xf>
    <xf numFmtId="0" fontId="42" fillId="52" borderId="16" xfId="994" applyNumberFormat="1" applyFont="1" applyFill="1" applyBorder="1" applyAlignment="1">
      <alignment horizontal="justify" vertical="center" wrapText="1"/>
    </xf>
    <xf numFmtId="180" fontId="42" fillId="52" borderId="16" xfId="962" applyNumberFormat="1" applyFont="1" applyFill="1" applyBorder="1" applyAlignment="1">
      <alignment horizontal="center" vertical="center" wrapText="1"/>
    </xf>
    <xf numFmtId="3" fontId="42" fillId="52" borderId="16" xfId="4" applyNumberFormat="1" applyFont="1" applyFill="1" applyBorder="1" applyAlignment="1">
      <alignment horizontal="center" vertical="center" wrapText="1"/>
    </xf>
    <xf numFmtId="3" fontId="42" fillId="52" borderId="16" xfId="966" applyNumberFormat="1" applyFont="1" applyFill="1" applyBorder="1" applyAlignment="1">
      <alignment horizontal="center" vertical="center" wrapText="1"/>
    </xf>
    <xf numFmtId="3" fontId="42" fillId="52" borderId="16" xfId="968" applyNumberFormat="1" applyFont="1" applyFill="1" applyBorder="1" applyAlignment="1">
      <alignment horizontal="center" vertical="center" wrapText="1"/>
    </xf>
    <xf numFmtId="3" fontId="42" fillId="52" borderId="16" xfId="4" applyNumberFormat="1" applyFont="1" applyFill="1" applyBorder="1" applyAlignment="1">
      <alignment horizontal="center" vertical="center"/>
    </xf>
    <xf numFmtId="3" fontId="202" fillId="52" borderId="16" xfId="966" applyNumberFormat="1" applyFont="1" applyFill="1" applyBorder="1" applyAlignment="1">
      <alignment horizontal="center" vertical="center" wrapText="1"/>
    </xf>
    <xf numFmtId="173" fontId="42" fillId="52" borderId="16" xfId="966" applyNumberFormat="1" applyFont="1" applyFill="1" applyBorder="1" applyAlignment="1">
      <alignment horizontal="center" vertical="center" wrapText="1"/>
    </xf>
    <xf numFmtId="3" fontId="202" fillId="52" borderId="16" xfId="968" applyNumberFormat="1" applyFont="1" applyFill="1" applyBorder="1" applyAlignment="1">
      <alignment horizontal="right" vertical="center" wrapText="1"/>
    </xf>
    <xf numFmtId="3" fontId="42" fillId="52" borderId="16" xfId="4" applyNumberFormat="1" applyFont="1" applyFill="1" applyBorder="1" applyAlignment="1">
      <alignment horizontal="right" vertical="center"/>
    </xf>
    <xf numFmtId="0" fontId="42" fillId="52" borderId="16" xfId="995" applyNumberFormat="1" applyFont="1" applyFill="1" applyBorder="1" applyAlignment="1">
      <alignment horizontal="left" vertical="center" wrapText="1"/>
    </xf>
    <xf numFmtId="3" fontId="202" fillId="52" borderId="16" xfId="4" applyNumberFormat="1" applyFont="1" applyFill="1" applyBorder="1" applyAlignment="1">
      <alignment horizontal="right" vertical="center" wrapText="1"/>
    </xf>
    <xf numFmtId="3" fontId="196" fillId="52" borderId="16" xfId="0" applyNumberFormat="1" applyFont="1" applyFill="1" applyBorder="1" applyAlignment="1">
      <alignment horizontal="center" vertical="center"/>
    </xf>
    <xf numFmtId="2" fontId="196" fillId="52" borderId="54" xfId="2" applyNumberFormat="1" applyFont="1" applyFill="1" applyBorder="1" applyAlignment="1">
      <alignment horizontal="left" vertical="center" wrapText="1"/>
    </xf>
    <xf numFmtId="0" fontId="196" fillId="52" borderId="16" xfId="994" applyNumberFormat="1" applyFont="1" applyFill="1" applyBorder="1" applyAlignment="1">
      <alignment horizontal="justify" vertical="center" wrapText="1"/>
    </xf>
    <xf numFmtId="3" fontId="196" fillId="52" borderId="16" xfId="3" applyNumberFormat="1" applyFont="1" applyFill="1" applyBorder="1" applyAlignment="1" applyProtection="1">
      <alignment horizontal="center" vertical="center" wrapText="1"/>
    </xf>
    <xf numFmtId="3" fontId="196" fillId="52" borderId="16" xfId="4" applyNumberFormat="1" applyFont="1" applyFill="1" applyBorder="1" applyAlignment="1">
      <alignment horizontal="right" vertical="center" wrapText="1"/>
    </xf>
    <xf numFmtId="3" fontId="196" fillId="52" borderId="16" xfId="0" applyNumberFormat="1" applyFont="1" applyFill="1" applyBorder="1" applyAlignment="1">
      <alignment horizontal="right" vertical="center"/>
    </xf>
    <xf numFmtId="180" fontId="196" fillId="52" borderId="16" xfId="962" applyNumberFormat="1" applyFont="1" applyFill="1" applyBorder="1" applyAlignment="1">
      <alignment horizontal="right" vertical="center" wrapText="1"/>
    </xf>
    <xf numFmtId="3" fontId="196" fillId="52" borderId="16" xfId="968" applyNumberFormat="1" applyFont="1" applyFill="1" applyBorder="1" applyAlignment="1">
      <alignment horizontal="right" vertical="center" wrapText="1"/>
    </xf>
    <xf numFmtId="3" fontId="196" fillId="52" borderId="16" xfId="0" applyNumberFormat="1" applyFont="1" applyFill="1" applyBorder="1" applyAlignment="1">
      <alignment horizontal="right"/>
    </xf>
    <xf numFmtId="3" fontId="196" fillId="52" borderId="16" xfId="966" applyNumberFormat="1" applyFont="1" applyFill="1" applyBorder="1" applyAlignment="1">
      <alignment horizontal="right" vertical="center" wrapText="1"/>
    </xf>
    <xf numFmtId="3" fontId="196" fillId="52" borderId="16" xfId="4" applyNumberFormat="1" applyFont="1" applyFill="1" applyBorder="1" applyAlignment="1">
      <alignment horizontal="right" vertical="center"/>
    </xf>
    <xf numFmtId="258" fontId="42" fillId="52" borderId="16" xfId="0" applyNumberFormat="1" applyFont="1" applyFill="1" applyBorder="1"/>
    <xf numFmtId="180" fontId="42" fillId="52" borderId="16" xfId="0" applyNumberFormat="1" applyFont="1" applyFill="1" applyBorder="1" applyAlignment="1">
      <alignment horizontal="center" vertical="center" wrapText="1"/>
    </xf>
    <xf numFmtId="258" fontId="42" fillId="52" borderId="16" xfId="0" applyNumberFormat="1" applyFont="1" applyFill="1" applyBorder="1" applyAlignment="1">
      <alignment wrapText="1"/>
    </xf>
    <xf numFmtId="3" fontId="173" fillId="52" borderId="16" xfId="2" applyNumberFormat="1" applyFont="1" applyFill="1" applyBorder="1" applyAlignment="1">
      <alignment horizontal="justify" vertical="center" wrapText="1"/>
    </xf>
    <xf numFmtId="0" fontId="42" fillId="52" borderId="60" xfId="0" applyFont="1" applyFill="1" applyBorder="1" applyAlignment="1">
      <alignment horizontal="left" vertical="center" wrapText="1"/>
    </xf>
    <xf numFmtId="3" fontId="42" fillId="57" borderId="60" xfId="0" applyNumberFormat="1" applyFont="1" applyFill="1" applyBorder="1" applyAlignment="1">
      <alignment horizontal="right" vertical="center" wrapText="1"/>
    </xf>
    <xf numFmtId="258" fontId="42" fillId="52" borderId="16" xfId="0" applyNumberFormat="1" applyFont="1" applyFill="1" applyBorder="1" applyAlignment="1">
      <alignment horizontal="center" vertical="center" wrapText="1"/>
    </xf>
    <xf numFmtId="258" fontId="42" fillId="52" borderId="16" xfId="0" applyNumberFormat="1" applyFont="1" applyFill="1" applyBorder="1" applyAlignment="1">
      <alignment horizontal="left" vertical="center"/>
    </xf>
    <xf numFmtId="3" fontId="42" fillId="57" borderId="61" xfId="0" applyNumberFormat="1" applyFont="1" applyFill="1" applyBorder="1" applyAlignment="1">
      <alignment vertical="center"/>
    </xf>
    <xf numFmtId="173" fontId="42" fillId="52" borderId="16" xfId="586" applyNumberFormat="1" applyFont="1" applyFill="1" applyBorder="1" applyAlignment="1">
      <alignment horizontal="justify" vertical="center" wrapText="1"/>
    </xf>
    <xf numFmtId="3" fontId="42" fillId="57" borderId="62" xfId="0" applyNumberFormat="1" applyFont="1" applyFill="1" applyBorder="1" applyAlignment="1">
      <alignment horizontal="right" vertical="center" wrapText="1"/>
    </xf>
    <xf numFmtId="173" fontId="42" fillId="52" borderId="16" xfId="998" applyNumberFormat="1" applyFont="1" applyFill="1" applyBorder="1" applyAlignment="1">
      <alignment horizontal="left" vertical="center" wrapText="1"/>
    </xf>
    <xf numFmtId="3" fontId="42" fillId="57" borderId="16" xfId="0" applyNumberFormat="1" applyFont="1" applyFill="1" applyBorder="1" applyAlignment="1">
      <alignment horizontal="right" vertical="center" wrapText="1"/>
    </xf>
    <xf numFmtId="173" fontId="42" fillId="52" borderId="32" xfId="998" applyNumberFormat="1" applyFont="1" applyFill="1" applyBorder="1" applyAlignment="1">
      <alignment horizontal="left" vertical="center" wrapText="1"/>
    </xf>
    <xf numFmtId="3" fontId="42" fillId="57" borderId="0" xfId="0" applyNumberFormat="1" applyFont="1" applyFill="1" applyBorder="1" applyAlignment="1">
      <alignment horizontal="right" vertical="center" wrapText="1"/>
    </xf>
    <xf numFmtId="3" fontId="42" fillId="52" borderId="16" xfId="0" applyNumberFormat="1" applyFont="1" applyFill="1" applyBorder="1" applyAlignment="1">
      <alignment horizontal="justify" vertical="center" wrapText="1"/>
    </xf>
    <xf numFmtId="3" fontId="174" fillId="52" borderId="16" xfId="0" applyNumberFormat="1" applyFont="1" applyFill="1" applyBorder="1" applyAlignment="1">
      <alignment vertical="center"/>
    </xf>
    <xf numFmtId="4" fontId="42" fillId="52" borderId="16" xfId="0" applyNumberFormat="1" applyFont="1" applyFill="1" applyBorder="1" applyAlignment="1">
      <alignment vertical="center"/>
    </xf>
    <xf numFmtId="259" fontId="42" fillId="52" borderId="16" xfId="0" applyNumberFormat="1" applyFont="1" applyFill="1" applyBorder="1" applyAlignment="1">
      <alignment vertical="center"/>
    </xf>
    <xf numFmtId="3" fontId="172" fillId="52" borderId="16" xfId="0" applyNumberFormat="1" applyFont="1" applyFill="1" applyBorder="1" applyAlignment="1">
      <alignment horizontal="center" vertical="center"/>
    </xf>
    <xf numFmtId="0" fontId="172" fillId="52" borderId="16" xfId="992" applyNumberFormat="1" applyFont="1" applyFill="1" applyBorder="1" applyAlignment="1">
      <alignment horizontal="left" vertical="center" wrapText="1"/>
    </xf>
    <xf numFmtId="259" fontId="42" fillId="52" borderId="16" xfId="0" applyNumberFormat="1" applyFont="1" applyFill="1" applyBorder="1" applyAlignment="1">
      <alignment horizontal="right" vertical="center"/>
    </xf>
    <xf numFmtId="3" fontId="204" fillId="52" borderId="16" xfId="0" applyNumberFormat="1" applyFont="1" applyFill="1" applyBorder="1" applyAlignment="1">
      <alignment vertical="center"/>
    </xf>
    <xf numFmtId="3" fontId="172" fillId="52" borderId="16" xfId="0" applyNumberFormat="1" applyFont="1" applyFill="1" applyBorder="1" applyAlignment="1">
      <alignment vertical="center"/>
    </xf>
    <xf numFmtId="3" fontId="204" fillId="52" borderId="16" xfId="968" applyNumberFormat="1" applyFont="1" applyFill="1" applyBorder="1" applyAlignment="1">
      <alignment horizontal="right" vertical="center" wrapText="1"/>
    </xf>
    <xf numFmtId="0" fontId="42" fillId="52" borderId="16" xfId="0" applyNumberFormat="1" applyFont="1" applyFill="1" applyBorder="1" applyAlignment="1">
      <alignment wrapText="1"/>
    </xf>
    <xf numFmtId="3" fontId="196" fillId="58" borderId="15" xfId="0" applyNumberFormat="1" applyFont="1" applyFill="1" applyBorder="1" applyAlignment="1">
      <alignment vertical="center"/>
    </xf>
    <xf numFmtId="180" fontId="202" fillId="52" borderId="54" xfId="962" applyNumberFormat="1" applyFont="1" applyFill="1" applyBorder="1" applyAlignment="1">
      <alignment horizontal="right" wrapText="1"/>
    </xf>
    <xf numFmtId="3" fontId="42" fillId="52" borderId="54" xfId="0" applyNumberFormat="1" applyFont="1" applyFill="1" applyBorder="1" applyAlignment="1">
      <alignment horizontal="right" vertical="center"/>
    </xf>
    <xf numFmtId="3" fontId="42" fillId="52" borderId="54" xfId="4" applyNumberFormat="1" applyFont="1" applyFill="1" applyBorder="1" applyAlignment="1">
      <alignment horizontal="right" vertical="center" wrapText="1"/>
    </xf>
    <xf numFmtId="173" fontId="202" fillId="52" borderId="54" xfId="966" applyNumberFormat="1" applyFont="1" applyFill="1" applyBorder="1" applyAlignment="1">
      <alignment horizontal="right" wrapText="1"/>
    </xf>
    <xf numFmtId="3" fontId="42" fillId="52" borderId="54" xfId="0" applyNumberFormat="1" applyFont="1" applyFill="1" applyBorder="1" applyAlignment="1">
      <alignment horizontal="right"/>
    </xf>
    <xf numFmtId="173" fontId="42" fillId="52" borderId="54" xfId="966" applyNumberFormat="1" applyFont="1" applyFill="1" applyBorder="1" applyAlignment="1">
      <alignment horizontal="right" vertical="center" wrapText="1"/>
    </xf>
    <xf numFmtId="0" fontId="42" fillId="52" borderId="16" xfId="0" applyNumberFormat="1" applyFont="1" applyFill="1" applyBorder="1" applyAlignment="1">
      <alignment vertical="center" wrapText="1"/>
    </xf>
    <xf numFmtId="173" fontId="42" fillId="52" borderId="54" xfId="966" applyNumberFormat="1" applyFont="1" applyFill="1" applyBorder="1" applyAlignment="1">
      <alignment horizontal="right" wrapText="1"/>
    </xf>
    <xf numFmtId="173" fontId="202" fillId="52" borderId="54" xfId="966" applyNumberFormat="1" applyFont="1" applyFill="1" applyBorder="1" applyAlignment="1">
      <alignment horizontal="right" vertical="center" wrapText="1"/>
    </xf>
    <xf numFmtId="180" fontId="42" fillId="52" borderId="54" xfId="962" applyNumberFormat="1" applyFont="1" applyFill="1" applyBorder="1" applyAlignment="1">
      <alignment horizontal="right" wrapText="1"/>
    </xf>
    <xf numFmtId="180" fontId="202" fillId="52" borderId="54" xfId="962" applyNumberFormat="1" applyFont="1" applyFill="1" applyBorder="1" applyAlignment="1">
      <alignment horizontal="right" vertical="center" wrapText="1"/>
    </xf>
    <xf numFmtId="180" fontId="42" fillId="52" borderId="54" xfId="0" applyNumberFormat="1" applyFont="1" applyFill="1" applyBorder="1" applyAlignment="1">
      <alignment horizontal="center" vertical="center" wrapText="1"/>
    </xf>
    <xf numFmtId="0" fontId="172" fillId="52" borderId="16" xfId="0" applyNumberFormat="1" applyFont="1" applyFill="1" applyBorder="1" applyAlignment="1">
      <alignment vertical="center" wrapText="1"/>
    </xf>
    <xf numFmtId="180" fontId="42" fillId="52" borderId="16" xfId="962" applyNumberFormat="1" applyFont="1" applyFill="1" applyBorder="1" applyAlignment="1">
      <alignment horizontal="right" vertical="center"/>
    </xf>
    <xf numFmtId="3" fontId="42" fillId="52" borderId="4" xfId="0" applyNumberFormat="1" applyFont="1" applyFill="1" applyBorder="1" applyAlignment="1">
      <alignment horizontal="right" vertical="center"/>
    </xf>
    <xf numFmtId="3" fontId="205" fillId="52" borderId="0" xfId="0" applyNumberFormat="1" applyFont="1" applyFill="1" applyBorder="1" applyAlignment="1">
      <alignment vertical="center"/>
    </xf>
    <xf numFmtId="3" fontId="205" fillId="52" borderId="0" xfId="0" applyNumberFormat="1" applyFont="1" applyFill="1" applyAlignment="1">
      <alignment vertical="center"/>
    </xf>
    <xf numFmtId="0" fontId="172" fillId="52" borderId="16" xfId="0" applyNumberFormat="1" applyFont="1" applyFill="1" applyBorder="1" applyAlignment="1">
      <alignment vertical="center"/>
    </xf>
    <xf numFmtId="3" fontId="201" fillId="52" borderId="0" xfId="0" applyNumberFormat="1" applyFont="1" applyFill="1" applyBorder="1" applyAlignment="1">
      <alignment vertical="center"/>
    </xf>
    <xf numFmtId="3" fontId="201" fillId="52" borderId="0" xfId="0" applyNumberFormat="1" applyFont="1" applyFill="1" applyAlignment="1">
      <alignment vertical="center"/>
    </xf>
    <xf numFmtId="0" fontId="172" fillId="52" borderId="16" xfId="0" applyNumberFormat="1" applyFont="1" applyFill="1" applyBorder="1" applyAlignment="1">
      <alignment horizontal="left" vertical="center" wrapText="1"/>
    </xf>
    <xf numFmtId="3" fontId="202" fillId="52" borderId="0" xfId="0" applyNumberFormat="1" applyFont="1" applyFill="1" applyBorder="1" applyAlignment="1">
      <alignment vertical="center"/>
    </xf>
    <xf numFmtId="3" fontId="202" fillId="52" borderId="0" xfId="0" applyNumberFormat="1" applyFont="1" applyFill="1" applyAlignment="1">
      <alignment vertical="center"/>
    </xf>
    <xf numFmtId="258" fontId="172" fillId="52" borderId="16" xfId="0" applyNumberFormat="1" applyFont="1" applyFill="1" applyBorder="1" applyAlignment="1">
      <alignment horizontal="left" vertical="center" wrapText="1"/>
    </xf>
    <xf numFmtId="3" fontId="202" fillId="0" borderId="0" xfId="0" applyNumberFormat="1" applyFont="1" applyFill="1" applyAlignment="1">
      <alignment vertical="center"/>
    </xf>
    <xf numFmtId="3" fontId="172" fillId="52" borderId="1" xfId="0" applyNumberFormat="1" applyFont="1" applyFill="1" applyBorder="1" applyAlignment="1">
      <alignment horizontal="right" vertical="center"/>
    </xf>
    <xf numFmtId="3" fontId="202" fillId="52" borderId="1" xfId="0" applyNumberFormat="1" applyFont="1" applyFill="1" applyBorder="1" applyAlignment="1">
      <alignment horizontal="right" vertical="center"/>
    </xf>
    <xf numFmtId="3" fontId="202" fillId="52" borderId="3" xfId="0" applyNumberFormat="1" applyFont="1" applyFill="1" applyBorder="1" applyAlignment="1">
      <alignment vertical="center"/>
    </xf>
    <xf numFmtId="3" fontId="202" fillId="52" borderId="16" xfId="0" applyNumberFormat="1" applyFont="1" applyFill="1" applyBorder="1" applyAlignment="1">
      <alignment vertical="center"/>
    </xf>
    <xf numFmtId="3" fontId="202" fillId="0" borderId="16" xfId="0" applyNumberFormat="1" applyFont="1" applyFill="1" applyBorder="1" applyAlignment="1">
      <alignment vertical="center"/>
    </xf>
    <xf numFmtId="3" fontId="206" fillId="52" borderId="54" xfId="2" applyNumberFormat="1" applyFont="1" applyFill="1" applyBorder="1" applyAlignment="1">
      <alignment horizontal="center" vertical="center" wrapText="1"/>
    </xf>
    <xf numFmtId="3" fontId="206" fillId="52" borderId="54" xfId="2" applyNumberFormat="1" applyFont="1" applyFill="1" applyBorder="1" applyAlignment="1">
      <alignment horizontal="justify" vertical="center" wrapText="1"/>
    </xf>
    <xf numFmtId="3" fontId="183" fillId="52" borderId="54" xfId="0" applyNumberFormat="1" applyFont="1" applyFill="1" applyBorder="1" applyAlignment="1">
      <alignment vertical="center"/>
    </xf>
    <xf numFmtId="3" fontId="206" fillId="3" borderId="0" xfId="0" applyNumberFormat="1" applyFont="1" applyFill="1" applyAlignment="1">
      <alignment vertical="center"/>
    </xf>
    <xf numFmtId="3" fontId="196" fillId="2" borderId="54" xfId="0" applyNumberFormat="1" applyFont="1" applyFill="1" applyBorder="1" applyAlignment="1">
      <alignment vertical="center"/>
    </xf>
    <xf numFmtId="3" fontId="202" fillId="2" borderId="54" xfId="0" applyNumberFormat="1" applyFont="1" applyFill="1" applyBorder="1" applyAlignment="1">
      <alignment vertical="center"/>
    </xf>
    <xf numFmtId="3" fontId="196" fillId="55" borderId="54" xfId="0" applyNumberFormat="1" applyFont="1" applyFill="1" applyBorder="1" applyAlignment="1">
      <alignment vertical="center"/>
    </xf>
    <xf numFmtId="3" fontId="202" fillId="55" borderId="54" xfId="0" applyNumberFormat="1" applyFont="1" applyFill="1" applyBorder="1" applyAlignment="1">
      <alignment vertical="center"/>
    </xf>
    <xf numFmtId="3" fontId="42" fillId="52" borderId="54" xfId="996" applyNumberFormat="1" applyFont="1" applyFill="1" applyBorder="1" applyAlignment="1">
      <alignment horizontal="right" vertical="center" wrapText="1"/>
    </xf>
    <xf numFmtId="3" fontId="42" fillId="52" borderId="54" xfId="966" applyNumberFormat="1" applyFont="1" applyFill="1" applyBorder="1" applyAlignment="1">
      <alignment horizontal="right" vertical="center" wrapText="1"/>
    </xf>
    <xf numFmtId="3" fontId="42" fillId="52" borderId="54" xfId="996" applyNumberFormat="1" applyFont="1" applyFill="1" applyBorder="1" applyAlignment="1">
      <alignment horizontal="center" vertical="center" wrapText="1"/>
    </xf>
    <xf numFmtId="261" fontId="202" fillId="0" borderId="0" xfId="0" applyNumberFormat="1" applyFont="1" applyFill="1" applyAlignment="1">
      <alignment vertical="center"/>
    </xf>
    <xf numFmtId="3" fontId="42" fillId="52" borderId="54" xfId="966" applyNumberFormat="1" applyFont="1" applyFill="1" applyBorder="1" applyAlignment="1">
      <alignment horizontal="center" vertical="center" wrapText="1"/>
    </xf>
    <xf numFmtId="3" fontId="42" fillId="52" borderId="54" xfId="0" applyNumberFormat="1" applyFont="1" applyFill="1" applyBorder="1" applyAlignment="1">
      <alignment horizontal="right" vertical="center" wrapText="1"/>
    </xf>
    <xf numFmtId="3" fontId="42" fillId="52" borderId="54" xfId="4" applyNumberFormat="1" applyFont="1" applyFill="1" applyBorder="1" applyAlignment="1">
      <alignment vertical="center" wrapText="1"/>
    </xf>
    <xf numFmtId="3" fontId="42" fillId="52" borderId="54" xfId="0" applyNumberFormat="1" applyFont="1" applyFill="1" applyBorder="1" applyAlignment="1">
      <alignment horizontal="right" wrapText="1"/>
    </xf>
    <xf numFmtId="173" fontId="42" fillId="0" borderId="18" xfId="586" applyNumberFormat="1" applyFont="1" applyFill="1" applyBorder="1" applyAlignment="1">
      <alignment horizontal="left" vertical="center" wrapText="1"/>
    </xf>
    <xf numFmtId="180" fontId="42" fillId="0" borderId="18" xfId="996" applyNumberFormat="1" applyFont="1" applyFill="1" applyBorder="1" applyAlignment="1">
      <alignment horizontal="right" vertical="center" wrapText="1"/>
    </xf>
    <xf numFmtId="3" fontId="42" fillId="0" borderId="18" xfId="966" applyNumberFormat="1" applyFont="1" applyFill="1" applyBorder="1" applyAlignment="1">
      <alignment horizontal="right" vertical="center" wrapText="1"/>
    </xf>
    <xf numFmtId="3" fontId="42" fillId="0" borderId="18" xfId="0" applyNumberFormat="1" applyFont="1" applyFill="1" applyBorder="1" applyAlignment="1">
      <alignment horizontal="right" vertical="center" wrapText="1"/>
    </xf>
    <xf numFmtId="180" fontId="42" fillId="0" borderId="18" xfId="4" applyNumberFormat="1" applyFont="1" applyFill="1" applyBorder="1" applyAlignment="1">
      <alignment vertical="center" wrapText="1"/>
    </xf>
    <xf numFmtId="3" fontId="42" fillId="52" borderId="54" xfId="2" applyNumberFormat="1" applyFont="1" applyFill="1" applyBorder="1" applyAlignment="1">
      <alignment horizontal="left" vertical="center" wrapText="1"/>
    </xf>
    <xf numFmtId="3" fontId="202" fillId="52" borderId="54" xfId="962" applyNumberFormat="1" applyFont="1" applyFill="1" applyBorder="1" applyAlignment="1">
      <alignment horizontal="right" vertical="center" wrapText="1"/>
    </xf>
    <xf numFmtId="3" fontId="202" fillId="52" borderId="54" xfId="966" applyNumberFormat="1" applyFont="1" applyFill="1" applyBorder="1" applyAlignment="1">
      <alignment horizontal="right" vertical="center" wrapText="1"/>
    </xf>
    <xf numFmtId="3" fontId="202" fillId="52" borderId="54" xfId="0" applyNumberFormat="1" applyFont="1" applyFill="1" applyBorder="1" applyAlignment="1">
      <alignment horizontal="right" vertical="center"/>
    </xf>
    <xf numFmtId="3" fontId="194" fillId="52" borderId="54" xfId="0" applyNumberFormat="1" applyFont="1" applyFill="1" applyBorder="1" applyAlignment="1">
      <alignment vertical="center"/>
    </xf>
    <xf numFmtId="3" fontId="207" fillId="52" borderId="54" xfId="0" applyNumberFormat="1" applyFont="1" applyFill="1" applyBorder="1" applyAlignment="1">
      <alignment vertical="center"/>
    </xf>
    <xf numFmtId="3" fontId="208" fillId="0" borderId="0" xfId="0" applyNumberFormat="1" applyFont="1" applyFill="1" applyAlignment="1">
      <alignment vertical="center"/>
    </xf>
    <xf numFmtId="3" fontId="42" fillId="52" borderId="54" xfId="586" applyNumberFormat="1" applyFont="1" applyFill="1" applyBorder="1" applyAlignment="1">
      <alignment horizontal="right" vertical="center"/>
    </xf>
    <xf numFmtId="3" fontId="202" fillId="53" borderId="0" xfId="0" applyNumberFormat="1" applyFont="1" applyFill="1" applyAlignment="1">
      <alignment vertical="center"/>
    </xf>
    <xf numFmtId="3" fontId="194" fillId="55" borderId="54" xfId="0" applyNumberFormat="1" applyFont="1" applyFill="1" applyBorder="1" applyAlignment="1">
      <alignment vertical="center"/>
    </xf>
    <xf numFmtId="3" fontId="207" fillId="55" borderId="54" xfId="0" applyNumberFormat="1" applyFont="1" applyFill="1" applyBorder="1" applyAlignment="1">
      <alignment vertical="center"/>
    </xf>
    <xf numFmtId="3" fontId="209" fillId="0" borderId="0" xfId="0" applyNumberFormat="1" applyFont="1" applyFill="1" applyAlignment="1">
      <alignment vertical="center"/>
    </xf>
    <xf numFmtId="3" fontId="208" fillId="54" borderId="0" xfId="0" applyNumberFormat="1" applyFont="1" applyFill="1" applyAlignment="1">
      <alignment vertical="center"/>
    </xf>
    <xf numFmtId="3" fontId="42" fillId="52" borderId="54" xfId="968" applyNumberFormat="1" applyFont="1" applyFill="1" applyBorder="1" applyAlignment="1">
      <alignment horizontal="right" vertical="center" wrapText="1"/>
    </xf>
    <xf numFmtId="3" fontId="42" fillId="52" borderId="54" xfId="968" applyNumberFormat="1" applyFont="1" applyFill="1" applyBorder="1" applyAlignment="1">
      <alignment horizontal="center" vertical="center" wrapText="1"/>
    </xf>
    <xf numFmtId="3" fontId="202" fillId="54" borderId="0" xfId="0" applyNumberFormat="1" applyFont="1" applyFill="1" applyAlignment="1">
      <alignment vertical="center"/>
    </xf>
    <xf numFmtId="3" fontId="42" fillId="52" borderId="18" xfId="996" applyNumberFormat="1" applyFont="1" applyFill="1" applyBorder="1" applyAlignment="1">
      <alignment horizontal="right" vertical="center" wrapText="1"/>
    </xf>
    <xf numFmtId="173" fontId="202" fillId="52" borderId="54" xfId="968" applyNumberFormat="1" applyFont="1" applyFill="1" applyBorder="1" applyAlignment="1">
      <alignment horizontal="left" vertical="center" wrapText="1"/>
    </xf>
    <xf numFmtId="173" fontId="202" fillId="52" borderId="54" xfId="998" applyNumberFormat="1" applyFont="1" applyFill="1" applyBorder="1" applyAlignment="1">
      <alignment horizontal="left" vertical="center" wrapText="1"/>
    </xf>
    <xf numFmtId="3" fontId="42" fillId="52" borderId="54" xfId="962" applyNumberFormat="1" applyFont="1" applyFill="1" applyBorder="1" applyAlignment="1">
      <alignment vertical="center" wrapText="1"/>
    </xf>
    <xf numFmtId="3" fontId="42" fillId="52" borderId="54" xfId="966" applyNumberFormat="1" applyFont="1" applyFill="1" applyBorder="1" applyAlignment="1">
      <alignment vertical="center" wrapText="1"/>
    </xf>
    <xf numFmtId="3" fontId="183" fillId="52" borderId="16" xfId="0" applyNumberFormat="1" applyFont="1" applyFill="1" applyBorder="1" applyAlignment="1">
      <alignment horizontal="justify" vertical="center"/>
    </xf>
    <xf numFmtId="3" fontId="202" fillId="0" borderId="54" xfId="0" applyNumberFormat="1" applyFont="1" applyFill="1" applyBorder="1" applyAlignment="1">
      <alignment horizontal="right" vertical="center"/>
    </xf>
    <xf numFmtId="3" fontId="42" fillId="0" borderId="54" xfId="2" applyNumberFormat="1" applyFont="1" applyFill="1" applyBorder="1" applyAlignment="1">
      <alignment horizontal="left" vertical="center" wrapText="1"/>
    </xf>
    <xf numFmtId="3" fontId="183" fillId="52" borderId="16" xfId="0" applyNumberFormat="1" applyFont="1" applyFill="1" applyBorder="1" applyAlignment="1">
      <alignment horizontal="center" vertical="center"/>
    </xf>
    <xf numFmtId="3" fontId="183" fillId="52" borderId="54" xfId="0" applyNumberFormat="1" applyFont="1" applyFill="1" applyBorder="1" applyAlignment="1">
      <alignment horizontal="center" vertical="center"/>
    </xf>
    <xf numFmtId="3" fontId="172" fillId="52" borderId="54" xfId="0" applyNumberFormat="1" applyFont="1" applyFill="1" applyBorder="1" applyAlignment="1">
      <alignment horizontal="center" vertical="center"/>
    </xf>
    <xf numFmtId="173" fontId="42" fillId="52" borderId="16" xfId="966" applyNumberFormat="1" applyFont="1" applyFill="1" applyBorder="1" applyAlignment="1">
      <alignment horizontal="right" vertical="center" wrapText="1"/>
    </xf>
    <xf numFmtId="3" fontId="172" fillId="52" borderId="16" xfId="994" applyNumberFormat="1" applyFont="1" applyFill="1" applyBorder="1" applyAlignment="1">
      <alignment horizontal="right" vertical="center" wrapText="1"/>
    </xf>
    <xf numFmtId="173" fontId="202" fillId="52" borderId="16" xfId="968" applyNumberFormat="1" applyFont="1" applyFill="1" applyBorder="1" applyAlignment="1">
      <alignment horizontal="center" vertical="center" wrapText="1"/>
    </xf>
    <xf numFmtId="0" fontId="42" fillId="52" borderId="16" xfId="994" applyNumberFormat="1" applyFont="1" applyFill="1" applyBorder="1" applyAlignment="1">
      <alignment horizontal="left" vertical="center"/>
    </xf>
    <xf numFmtId="0" fontId="172" fillId="52" borderId="16" xfId="968" applyFont="1" applyFill="1" applyBorder="1" applyAlignment="1">
      <alignment horizontal="right" vertical="center" wrapText="1"/>
    </xf>
    <xf numFmtId="173" fontId="172" fillId="52" borderId="16" xfId="966" applyNumberFormat="1" applyFont="1" applyFill="1" applyBorder="1" applyAlignment="1">
      <alignment horizontal="right" vertical="center" wrapText="1"/>
    </xf>
    <xf numFmtId="258" fontId="204" fillId="52" borderId="16" xfId="0" applyNumberFormat="1" applyFont="1" applyFill="1" applyBorder="1" applyAlignment="1">
      <alignment vertical="center"/>
    </xf>
    <xf numFmtId="180" fontId="172" fillId="52" borderId="16" xfId="996" applyNumberFormat="1" applyFont="1" applyFill="1" applyBorder="1" applyAlignment="1">
      <alignment horizontal="right" vertical="center"/>
    </xf>
    <xf numFmtId="180" fontId="42" fillId="52" borderId="16" xfId="996" applyNumberFormat="1" applyFont="1" applyFill="1" applyBorder="1" applyAlignment="1">
      <alignment horizontal="right" vertical="center"/>
    </xf>
    <xf numFmtId="3" fontId="204" fillId="52" borderId="16" xfId="968" applyNumberFormat="1" applyFont="1" applyFill="1" applyBorder="1" applyAlignment="1">
      <alignment horizontal="center" vertical="center" wrapText="1"/>
    </xf>
    <xf numFmtId="0" fontId="204" fillId="52" borderId="16" xfId="968" applyNumberFormat="1" applyFont="1" applyFill="1" applyBorder="1" applyAlignment="1">
      <alignment horizontal="left" vertical="center" wrapText="1"/>
    </xf>
    <xf numFmtId="0" fontId="172" fillId="52" borderId="16" xfId="968" applyNumberFormat="1" applyFont="1" applyFill="1" applyBorder="1" applyAlignment="1">
      <alignment horizontal="left" vertical="center" wrapText="1"/>
    </xf>
    <xf numFmtId="3" fontId="42" fillId="52" borderId="16" xfId="1002" applyNumberFormat="1" applyFont="1" applyFill="1" applyBorder="1" applyAlignment="1">
      <alignment horizontal="right" vertical="center" wrapText="1"/>
    </xf>
    <xf numFmtId="3" fontId="172" fillId="52" borderId="0" xfId="0" applyNumberFormat="1" applyFont="1" applyFill="1"/>
    <xf numFmtId="3" fontId="210" fillId="52" borderId="16" xfId="968" applyNumberFormat="1" applyFont="1" applyFill="1" applyBorder="1" applyAlignment="1">
      <alignment horizontal="right" vertical="center" wrapText="1"/>
    </xf>
    <xf numFmtId="0" fontId="172" fillId="52" borderId="16" xfId="994" applyNumberFormat="1" applyFont="1" applyFill="1" applyBorder="1" applyAlignment="1">
      <alignment horizontal="justify" vertical="center" wrapText="1"/>
    </xf>
    <xf numFmtId="3" fontId="210" fillId="52" borderId="16" xfId="966" applyNumberFormat="1" applyFont="1" applyFill="1" applyBorder="1" applyAlignment="1">
      <alignment horizontal="center" vertical="center" wrapText="1"/>
    </xf>
    <xf numFmtId="3" fontId="172" fillId="52" borderId="16" xfId="0" applyNumberFormat="1" applyFont="1" applyFill="1" applyBorder="1" applyAlignment="1">
      <alignment horizontal="center" vertical="center" wrapText="1"/>
    </xf>
    <xf numFmtId="3" fontId="210" fillId="52" borderId="16" xfId="966" applyNumberFormat="1" applyFont="1" applyFill="1" applyBorder="1" applyAlignment="1">
      <alignment horizontal="right" vertical="center" wrapText="1"/>
    </xf>
    <xf numFmtId="0" fontId="172" fillId="52" borderId="16" xfId="994" applyNumberFormat="1" applyFont="1" applyFill="1" applyBorder="1" applyAlignment="1">
      <alignment vertical="center"/>
    </xf>
    <xf numFmtId="3" fontId="172" fillId="52" borderId="5" xfId="966" applyNumberFormat="1" applyFont="1" applyFill="1" applyBorder="1" applyAlignment="1">
      <alignment horizontal="right" vertical="center" wrapText="1"/>
    </xf>
    <xf numFmtId="3" fontId="42" fillId="52" borderId="16" xfId="1002" applyNumberFormat="1" applyFont="1" applyFill="1" applyBorder="1" applyAlignment="1">
      <alignment vertical="center" wrapText="1"/>
    </xf>
    <xf numFmtId="3" fontId="172" fillId="52" borderId="16" xfId="968" applyNumberFormat="1" applyFont="1" applyFill="1" applyBorder="1" applyAlignment="1">
      <alignment vertical="center" wrapText="1"/>
    </xf>
    <xf numFmtId="3" fontId="172" fillId="52" borderId="16" xfId="966" applyNumberFormat="1" applyFont="1" applyFill="1" applyBorder="1" applyAlignment="1">
      <alignment vertical="center" wrapText="1"/>
    </xf>
    <xf numFmtId="3" fontId="210" fillId="52" borderId="16" xfId="968" applyNumberFormat="1" applyFont="1" applyFill="1" applyBorder="1" applyAlignment="1">
      <alignment vertical="center" wrapText="1"/>
    </xf>
    <xf numFmtId="3" fontId="42" fillId="52" borderId="16" xfId="966" applyNumberFormat="1" applyFont="1" applyFill="1" applyBorder="1" applyAlignment="1">
      <alignment vertical="center" wrapText="1"/>
    </xf>
    <xf numFmtId="0" fontId="172" fillId="52" borderId="16" xfId="0" applyFont="1" applyFill="1" applyBorder="1" applyAlignment="1">
      <alignment vertical="center" wrapText="1"/>
    </xf>
    <xf numFmtId="3" fontId="195" fillId="52" borderId="16" xfId="968" applyNumberFormat="1" applyFont="1" applyFill="1" applyBorder="1" applyAlignment="1">
      <alignment horizontal="center" vertical="center" wrapText="1"/>
    </xf>
    <xf numFmtId="0" fontId="195" fillId="52" borderId="16" xfId="968" applyNumberFormat="1" applyFont="1" applyFill="1" applyBorder="1" applyAlignment="1">
      <alignment horizontal="left" vertical="center" wrapText="1"/>
    </xf>
    <xf numFmtId="3" fontId="195" fillId="52" borderId="16" xfId="0" applyNumberFormat="1" applyFont="1" applyFill="1" applyBorder="1" applyAlignment="1">
      <alignment vertical="center"/>
    </xf>
    <xf numFmtId="0" fontId="172" fillId="52" borderId="16" xfId="969" applyNumberFormat="1" applyFont="1" applyFill="1" applyBorder="1" applyAlignment="1">
      <alignment horizontal="left" vertical="center" wrapText="1"/>
    </xf>
    <xf numFmtId="0" fontId="204" fillId="52" borderId="16" xfId="994" applyNumberFormat="1" applyFont="1" applyFill="1" applyBorder="1" applyAlignment="1">
      <alignment horizontal="left" vertical="center" wrapText="1"/>
    </xf>
    <xf numFmtId="0" fontId="172" fillId="52" borderId="16" xfId="994" quotePrefix="1" applyNumberFormat="1" applyFont="1" applyFill="1" applyBorder="1" applyAlignment="1">
      <alignment vertical="center" wrapText="1"/>
    </xf>
    <xf numFmtId="3" fontId="173" fillId="52" borderId="16" xfId="0" applyNumberFormat="1" applyFont="1" applyFill="1" applyBorder="1" applyAlignment="1">
      <alignment horizontal="center" vertical="center"/>
    </xf>
    <xf numFmtId="3" fontId="42" fillId="52" borderId="54" xfId="0" applyNumberFormat="1" applyFont="1" applyFill="1" applyBorder="1" applyAlignment="1">
      <alignment horizontal="center" vertical="center"/>
    </xf>
    <xf numFmtId="0" fontId="42" fillId="52" borderId="16" xfId="969" applyNumberFormat="1" applyFont="1" applyFill="1" applyBorder="1" applyAlignment="1">
      <alignment horizontal="left" vertical="center" wrapText="1"/>
    </xf>
    <xf numFmtId="180" fontId="42" fillId="52" borderId="16" xfId="968" applyNumberFormat="1" applyFont="1" applyFill="1" applyBorder="1" applyAlignment="1">
      <alignment vertical="center" wrapText="1"/>
    </xf>
    <xf numFmtId="3" fontId="172" fillId="2" borderId="54" xfId="0" applyNumberFormat="1" applyFont="1" applyFill="1" applyBorder="1" applyAlignment="1">
      <alignment horizontal="center" vertical="center"/>
    </xf>
    <xf numFmtId="0" fontId="204" fillId="2" borderId="54" xfId="969" applyNumberFormat="1" applyFont="1" applyFill="1" applyBorder="1" applyAlignment="1">
      <alignment horizontal="left" vertical="center" wrapText="1"/>
    </xf>
    <xf numFmtId="3" fontId="194" fillId="2" borderId="16" xfId="3" applyNumberFormat="1" applyFont="1" applyFill="1" applyBorder="1" applyAlignment="1" applyProtection="1">
      <alignment horizontal="center" vertical="center" wrapText="1"/>
    </xf>
    <xf numFmtId="3" fontId="183" fillId="2" borderId="54" xfId="0" applyNumberFormat="1" applyFont="1" applyFill="1" applyBorder="1" applyAlignment="1">
      <alignment vertical="center"/>
    </xf>
    <xf numFmtId="3" fontId="42" fillId="2" borderId="0" xfId="0" applyNumberFormat="1" applyFont="1" applyFill="1" applyAlignment="1">
      <alignment vertical="center"/>
    </xf>
    <xf numFmtId="3" fontId="173" fillId="52" borderId="54" xfId="0" applyNumberFormat="1" applyFont="1" applyFill="1" applyBorder="1" applyAlignment="1">
      <alignment horizontal="center" vertical="center"/>
    </xf>
    <xf numFmtId="3" fontId="42" fillId="52" borderId="16" xfId="968" applyNumberFormat="1" applyFont="1" applyFill="1" applyBorder="1" applyAlignment="1">
      <alignment horizontal="left" vertical="center" wrapText="1"/>
    </xf>
    <xf numFmtId="180" fontId="42" fillId="52" borderId="16" xfId="996" applyNumberFormat="1" applyFont="1" applyFill="1" applyBorder="1" applyAlignment="1">
      <alignment vertical="center" wrapText="1"/>
    </xf>
    <xf numFmtId="3" fontId="42" fillId="52" borderId="16" xfId="0" applyNumberFormat="1" applyFont="1" applyFill="1" applyBorder="1" applyAlignment="1">
      <alignment horizontal="right" vertical="center" wrapText="1"/>
    </xf>
    <xf numFmtId="173" fontId="42" fillId="52" borderId="16" xfId="968" applyNumberFormat="1" applyFont="1" applyFill="1" applyBorder="1" applyAlignment="1">
      <alignment vertical="center" wrapText="1"/>
    </xf>
    <xf numFmtId="180" fontId="42" fillId="52" borderId="16" xfId="4" applyNumberFormat="1" applyFont="1" applyFill="1" applyBorder="1" applyAlignment="1">
      <alignment horizontal="right" vertical="center" wrapText="1"/>
    </xf>
    <xf numFmtId="3" fontId="42" fillId="52" borderId="16" xfId="0" applyNumberFormat="1" applyFont="1" applyFill="1" applyBorder="1" applyAlignment="1">
      <alignment wrapText="1"/>
    </xf>
    <xf numFmtId="180" fontId="42" fillId="52" borderId="1" xfId="966" applyNumberFormat="1" applyFont="1" applyFill="1" applyBorder="1" applyAlignment="1">
      <alignment vertical="center" wrapText="1"/>
    </xf>
    <xf numFmtId="3" fontId="42" fillId="52" borderId="0" xfId="0" applyNumberFormat="1" applyFont="1" applyFill="1"/>
    <xf numFmtId="0" fontId="42" fillId="52" borderId="16" xfId="0" applyFont="1" applyFill="1" applyBorder="1" applyAlignment="1">
      <alignment horizontal="center" vertical="center"/>
    </xf>
    <xf numFmtId="180" fontId="42" fillId="52" borderId="1" xfId="996" applyNumberFormat="1" applyFont="1" applyFill="1" applyBorder="1" applyAlignment="1">
      <alignment vertical="center" wrapText="1"/>
    </xf>
    <xf numFmtId="180" fontId="42" fillId="52" borderId="16" xfId="962" applyNumberFormat="1" applyFont="1" applyFill="1" applyBorder="1"/>
    <xf numFmtId="0" fontId="42" fillId="52" borderId="16" xfId="0" applyFont="1" applyFill="1" applyBorder="1"/>
    <xf numFmtId="180" fontId="42" fillId="52" borderId="16" xfId="962" applyNumberFormat="1" applyFont="1" applyFill="1" applyBorder="1" applyAlignment="1">
      <alignment wrapText="1"/>
    </xf>
    <xf numFmtId="3" fontId="42" fillId="52" borderId="16" xfId="962" applyNumberFormat="1" applyFont="1" applyFill="1" applyBorder="1" applyAlignment="1">
      <alignment vertical="center" wrapText="1"/>
    </xf>
    <xf numFmtId="173" fontId="42" fillId="52" borderId="16" xfId="966" applyNumberFormat="1" applyFont="1" applyFill="1" applyBorder="1" applyAlignment="1">
      <alignment vertical="center" wrapText="1"/>
    </xf>
    <xf numFmtId="180" fontId="42" fillId="52" borderId="16" xfId="962" applyNumberFormat="1" applyFont="1" applyFill="1" applyBorder="1" applyAlignment="1">
      <alignment vertical="center"/>
    </xf>
    <xf numFmtId="180" fontId="42" fillId="52" borderId="16" xfId="996" applyNumberFormat="1" applyFont="1" applyFill="1" applyBorder="1" applyAlignment="1">
      <alignment horizontal="left" vertical="center" wrapText="1"/>
    </xf>
    <xf numFmtId="180" fontId="42" fillId="52" borderId="58" xfId="996" applyNumberFormat="1" applyFont="1" applyFill="1" applyBorder="1" applyAlignment="1">
      <alignment vertical="center" wrapText="1"/>
    </xf>
    <xf numFmtId="3" fontId="42" fillId="52" borderId="58" xfId="0" applyNumberFormat="1" applyFont="1" applyFill="1" applyBorder="1" applyAlignment="1">
      <alignment vertical="center"/>
    </xf>
    <xf numFmtId="0" fontId="42" fillId="52" borderId="1" xfId="0" applyFont="1" applyFill="1" applyBorder="1" applyAlignment="1">
      <alignment horizontal="center" vertical="center"/>
    </xf>
    <xf numFmtId="180" fontId="42" fillId="52" borderId="59" xfId="996" applyNumberFormat="1" applyFont="1" applyFill="1" applyBorder="1" applyAlignment="1">
      <alignment vertical="center" wrapText="1"/>
    </xf>
    <xf numFmtId="3" fontId="42" fillId="52" borderId="59" xfId="0" applyNumberFormat="1" applyFont="1" applyFill="1" applyBorder="1" applyAlignment="1">
      <alignment vertical="center"/>
    </xf>
    <xf numFmtId="3" fontId="42" fillId="52" borderId="1" xfId="968" applyNumberFormat="1" applyFont="1" applyFill="1" applyBorder="1" applyAlignment="1">
      <alignment horizontal="right" vertical="center" wrapText="1"/>
    </xf>
    <xf numFmtId="3" fontId="42" fillId="52" borderId="1" xfId="0" applyNumberFormat="1" applyFont="1" applyFill="1" applyBorder="1" applyAlignment="1">
      <alignment horizontal="right" vertical="center"/>
    </xf>
    <xf numFmtId="3" fontId="42" fillId="52" borderId="16" xfId="0" applyNumberFormat="1" applyFont="1" applyFill="1" applyBorder="1"/>
    <xf numFmtId="3" fontId="183" fillId="52" borderId="16" xfId="968" applyNumberFormat="1" applyFont="1" applyFill="1" applyBorder="1" applyAlignment="1">
      <alignment horizontal="left" vertical="center" wrapText="1"/>
    </xf>
    <xf numFmtId="180" fontId="183" fillId="52" borderId="16" xfId="996" applyNumberFormat="1" applyFont="1" applyFill="1" applyBorder="1" applyAlignment="1">
      <alignment vertical="center" wrapText="1"/>
    </xf>
    <xf numFmtId="3" fontId="196" fillId="52" borderId="54" xfId="2" applyNumberFormat="1" applyFont="1" applyFill="1" applyBorder="1" applyAlignment="1">
      <alignment horizontal="center" vertical="center" wrapText="1"/>
    </xf>
    <xf numFmtId="0" fontId="42" fillId="0" borderId="54" xfId="0" applyFont="1" applyBorder="1"/>
    <xf numFmtId="263" fontId="42" fillId="0" borderId="54" xfId="962" applyNumberFormat="1" applyFont="1" applyBorder="1"/>
    <xf numFmtId="3" fontId="42" fillId="0" borderId="54" xfId="2" applyNumberFormat="1" applyFont="1" applyFill="1" applyBorder="1" applyAlignment="1">
      <alignment horizontal="center" vertical="center" wrapText="1"/>
    </xf>
    <xf numFmtId="0" fontId="42" fillId="0" borderId="54" xfId="0" applyFont="1" applyBorder="1" applyAlignment="1">
      <alignment horizontal="left" wrapText="1"/>
    </xf>
    <xf numFmtId="3" fontId="195" fillId="52" borderId="16" xfId="0" applyNumberFormat="1" applyFont="1" applyFill="1" applyBorder="1" applyAlignment="1">
      <alignment horizontal="center" vertical="center"/>
    </xf>
    <xf numFmtId="3" fontId="195" fillId="52" borderId="54" xfId="0" applyNumberFormat="1" applyFont="1" applyFill="1" applyBorder="1" applyAlignment="1">
      <alignment horizontal="center" vertical="center"/>
    </xf>
    <xf numFmtId="3" fontId="195" fillId="52" borderId="16" xfId="0" applyNumberFormat="1" applyFont="1" applyFill="1" applyBorder="1" applyAlignment="1">
      <alignment vertical="center" wrapText="1"/>
    </xf>
    <xf numFmtId="3" fontId="206" fillId="51" borderId="0" xfId="0" applyNumberFormat="1" applyFont="1" applyFill="1" applyAlignment="1">
      <alignment vertical="center"/>
    </xf>
    <xf numFmtId="3" fontId="42" fillId="52" borderId="16" xfId="0" applyNumberFormat="1" applyFont="1" applyFill="1" applyBorder="1" applyAlignment="1">
      <alignment vertical="center" wrapText="1"/>
    </xf>
    <xf numFmtId="3" fontId="202" fillId="51" borderId="0" xfId="0" applyNumberFormat="1" applyFont="1" applyFill="1" applyAlignment="1">
      <alignment vertical="center"/>
    </xf>
    <xf numFmtId="173" fontId="42" fillId="52" borderId="54" xfId="8" applyNumberFormat="1" applyFont="1" applyFill="1" applyBorder="1" applyAlignment="1">
      <alignment horizontal="left" vertical="center" wrapText="1"/>
    </xf>
    <xf numFmtId="180" fontId="42" fillId="52" borderId="54" xfId="962" applyNumberFormat="1" applyFont="1" applyFill="1" applyBorder="1" applyAlignment="1">
      <alignment vertical="center" wrapText="1"/>
    </xf>
    <xf numFmtId="3" fontId="202" fillId="52" borderId="54" xfId="962" applyNumberFormat="1" applyFont="1" applyFill="1" applyBorder="1" applyAlignment="1">
      <alignment horizontal="right"/>
    </xf>
    <xf numFmtId="0" fontId="42" fillId="52" borderId="54" xfId="0" applyFont="1" applyFill="1" applyBorder="1" applyAlignment="1">
      <alignment wrapText="1"/>
    </xf>
    <xf numFmtId="3" fontId="183" fillId="52" borderId="16" xfId="0" applyNumberFormat="1" applyFont="1" applyFill="1" applyBorder="1" applyAlignment="1">
      <alignment vertical="center" wrapText="1"/>
    </xf>
    <xf numFmtId="180" fontId="42" fillId="52" borderId="55" xfId="966" applyNumberFormat="1" applyFont="1" applyFill="1" applyBorder="1" applyAlignment="1">
      <alignment vertical="center" wrapText="1"/>
    </xf>
    <xf numFmtId="180" fontId="42" fillId="52" borderId="56" xfId="966" applyNumberFormat="1" applyFont="1" applyFill="1" applyBorder="1" applyAlignment="1">
      <alignment vertical="center" wrapText="1"/>
    </xf>
    <xf numFmtId="180" fontId="42" fillId="52" borderId="54" xfId="962" applyNumberFormat="1" applyFont="1" applyFill="1" applyBorder="1"/>
    <xf numFmtId="180" fontId="42" fillId="52" borderId="57" xfId="966" applyNumberFormat="1" applyFont="1" applyFill="1" applyBorder="1" applyAlignment="1">
      <alignment vertical="center" wrapText="1"/>
    </xf>
    <xf numFmtId="4" fontId="42" fillId="52" borderId="54" xfId="0" applyNumberFormat="1" applyFont="1" applyFill="1" applyBorder="1" applyAlignment="1">
      <alignment horizontal="left"/>
    </xf>
    <xf numFmtId="4" fontId="42" fillId="52" borderId="54" xfId="0" applyNumberFormat="1" applyFont="1" applyFill="1" applyBorder="1" applyAlignment="1"/>
    <xf numFmtId="0" fontId="42" fillId="52" borderId="55" xfId="0" applyFont="1" applyFill="1" applyBorder="1" applyAlignment="1">
      <alignment wrapText="1"/>
    </xf>
    <xf numFmtId="4" fontId="42" fillId="52" borderId="54" xfId="0" applyNumberFormat="1" applyFont="1" applyFill="1" applyBorder="1" applyAlignment="1">
      <alignment wrapText="1"/>
    </xf>
    <xf numFmtId="0" fontId="42" fillId="52" borderId="56" xfId="969" quotePrefix="1" applyFont="1" applyFill="1" applyBorder="1" applyAlignment="1">
      <alignment vertical="center"/>
    </xf>
    <xf numFmtId="0" fontId="42" fillId="52" borderId="56" xfId="969" applyFont="1" applyFill="1" applyBorder="1" applyAlignment="1">
      <alignment vertical="center" wrapText="1"/>
    </xf>
    <xf numFmtId="0" fontId="42" fillId="52" borderId="56" xfId="0" applyFont="1" applyFill="1" applyBorder="1" applyAlignment="1">
      <alignment horizontal="left"/>
    </xf>
    <xf numFmtId="0" fontId="42" fillId="52" borderId="56" xfId="0" applyFont="1" applyFill="1" applyBorder="1" applyAlignment="1"/>
    <xf numFmtId="0" fontId="42" fillId="52" borderId="56" xfId="0" applyFont="1" applyFill="1" applyBorder="1" applyAlignment="1">
      <alignment wrapText="1"/>
    </xf>
    <xf numFmtId="3" fontId="173" fillId="52" borderId="16" xfId="0" applyNumberFormat="1" applyFont="1" applyFill="1" applyBorder="1" applyAlignment="1">
      <alignment vertical="center" wrapText="1"/>
    </xf>
    <xf numFmtId="0" fontId="174" fillId="0" borderId="0" xfId="0" applyFont="1"/>
    <xf numFmtId="0" fontId="42" fillId="0" borderId="0" xfId="0" applyFont="1"/>
    <xf numFmtId="180" fontId="42" fillId="52" borderId="18" xfId="974" applyNumberFormat="1" applyFont="1" applyFill="1" applyBorder="1" applyAlignment="1">
      <alignment vertical="center"/>
    </xf>
    <xf numFmtId="0" fontId="42" fillId="52" borderId="16" xfId="586" applyNumberFormat="1" applyFont="1" applyFill="1" applyBorder="1" applyAlignment="1">
      <alignment horizontal="left" vertical="center" wrapText="1"/>
    </xf>
    <xf numFmtId="173" fontId="42" fillId="52" borderId="16" xfId="586" applyNumberFormat="1" applyFont="1" applyFill="1" applyBorder="1" applyAlignment="1">
      <alignment horizontal="left" vertical="center" wrapText="1"/>
    </xf>
    <xf numFmtId="0" fontId="42" fillId="52" borderId="0" xfId="0" applyFont="1" applyFill="1"/>
    <xf numFmtId="173" fontId="42" fillId="52" borderId="16" xfId="586" applyNumberFormat="1" applyFont="1" applyFill="1" applyBorder="1" applyAlignment="1">
      <alignment vertical="center" wrapText="1"/>
    </xf>
    <xf numFmtId="173" fontId="42" fillId="52" borderId="16" xfId="997" applyNumberFormat="1" applyFont="1" applyFill="1" applyBorder="1" applyAlignment="1">
      <alignment horizontal="left" vertical="center" wrapText="1"/>
    </xf>
    <xf numFmtId="3" fontId="202" fillId="52" borderId="16" xfId="2" applyNumberFormat="1" applyFont="1" applyFill="1" applyBorder="1" applyAlignment="1">
      <alignment horizontal="left" vertical="center" wrapText="1"/>
    </xf>
    <xf numFmtId="3" fontId="200" fillId="0" borderId="0" xfId="0" applyNumberFormat="1" applyFont="1" applyFill="1" applyAlignment="1">
      <alignment vertical="center"/>
    </xf>
    <xf numFmtId="3" fontId="172" fillId="52" borderId="16" xfId="3" applyNumberFormat="1" applyFont="1" applyFill="1" applyBorder="1" applyAlignment="1" applyProtection="1">
      <alignment horizontal="center" vertical="center" wrapText="1"/>
    </xf>
    <xf numFmtId="3" fontId="201" fillId="0" borderId="0" xfId="0" applyNumberFormat="1" applyFont="1" applyFill="1" applyAlignment="1">
      <alignment vertical="center"/>
    </xf>
    <xf numFmtId="3" fontId="172" fillId="52" borderId="54" xfId="0" applyNumberFormat="1" applyFont="1" applyFill="1" applyBorder="1" applyAlignment="1">
      <alignment vertical="center"/>
    </xf>
    <xf numFmtId="3" fontId="201" fillId="52" borderId="54" xfId="0" applyNumberFormat="1" applyFont="1" applyFill="1" applyBorder="1" applyAlignment="1">
      <alignment horizontal="right" vertical="center"/>
    </xf>
    <xf numFmtId="3" fontId="200" fillId="52" borderId="16" xfId="0" applyNumberFormat="1" applyFont="1" applyFill="1" applyBorder="1" applyAlignment="1">
      <alignment horizontal="center" vertical="center"/>
    </xf>
    <xf numFmtId="3" fontId="200" fillId="52" borderId="54" xfId="0" applyNumberFormat="1" applyFont="1" applyFill="1" applyBorder="1" applyAlignment="1">
      <alignment horizontal="center" vertical="center"/>
    </xf>
    <xf numFmtId="3" fontId="200" fillId="52" borderId="16" xfId="0" applyNumberFormat="1" applyFont="1" applyFill="1" applyBorder="1" applyAlignment="1">
      <alignment vertical="center" wrapText="1"/>
    </xf>
    <xf numFmtId="3" fontId="200" fillId="52" borderId="16" xfId="0" applyNumberFormat="1" applyFont="1" applyFill="1" applyBorder="1" applyAlignment="1">
      <alignment vertical="center"/>
    </xf>
    <xf numFmtId="3" fontId="202" fillId="52" borderId="54" xfId="0" applyNumberFormat="1" applyFont="1" applyFill="1" applyBorder="1" applyAlignment="1">
      <alignment horizontal="center" vertical="center"/>
    </xf>
    <xf numFmtId="0" fontId="172" fillId="0" borderId="54" xfId="0" applyFont="1" applyBorder="1"/>
    <xf numFmtId="3" fontId="202" fillId="2" borderId="54" xfId="0" applyNumberFormat="1" applyFont="1" applyFill="1" applyBorder="1" applyAlignment="1">
      <alignment horizontal="right" vertical="center"/>
    </xf>
    <xf numFmtId="3" fontId="173" fillId="52" borderId="16" xfId="2" applyNumberFormat="1" applyFont="1" applyFill="1" applyBorder="1" applyAlignment="1">
      <alignment horizontal="center" vertical="center" wrapText="1"/>
    </xf>
    <xf numFmtId="3" fontId="173" fillId="52" borderId="54" xfId="2" applyNumberFormat="1" applyFont="1" applyFill="1" applyBorder="1" applyAlignment="1">
      <alignment horizontal="center" vertical="center" wrapText="1"/>
    </xf>
    <xf numFmtId="3" fontId="42" fillId="52" borderId="54" xfId="2" applyNumberFormat="1" applyFont="1" applyFill="1" applyBorder="1" applyAlignment="1">
      <alignment horizontal="center" vertical="center" wrapText="1"/>
    </xf>
    <xf numFmtId="0" fontId="211" fillId="0" borderId="0" xfId="0" applyFont="1"/>
    <xf numFmtId="3" fontId="173" fillId="52" borderId="16" xfId="968" applyNumberFormat="1" applyFont="1" applyFill="1" applyBorder="1" applyAlignment="1">
      <alignment horizontal="center" vertical="center" wrapText="1"/>
    </xf>
    <xf numFmtId="3" fontId="173" fillId="52" borderId="54" xfId="968" applyNumberFormat="1" applyFont="1" applyFill="1" applyBorder="1" applyAlignment="1">
      <alignment horizontal="center" vertical="center" wrapText="1"/>
    </xf>
    <xf numFmtId="3" fontId="200" fillId="52" borderId="16" xfId="968" applyNumberFormat="1" applyFont="1" applyFill="1" applyBorder="1" applyAlignment="1">
      <alignment horizontal="center" vertical="center" wrapText="1"/>
    </xf>
    <xf numFmtId="3" fontId="200" fillId="52" borderId="54" xfId="968" applyNumberFormat="1" applyFont="1" applyFill="1" applyBorder="1" applyAlignment="1">
      <alignment horizontal="center" vertical="center" wrapText="1"/>
    </xf>
    <xf numFmtId="3" fontId="172" fillId="52" borderId="54" xfId="968" applyNumberFormat="1" applyFont="1" applyFill="1" applyBorder="1" applyAlignment="1">
      <alignment horizontal="center" vertical="center" wrapText="1"/>
    </xf>
    <xf numFmtId="3" fontId="202" fillId="52" borderId="54" xfId="968" applyNumberFormat="1" applyFont="1" applyFill="1" applyBorder="1" applyAlignment="1">
      <alignment horizontal="center" vertical="center" wrapText="1"/>
    </xf>
    <xf numFmtId="3" fontId="172" fillId="52" borderId="54" xfId="0" applyNumberFormat="1" applyFont="1" applyFill="1" applyBorder="1" applyAlignment="1">
      <alignment vertical="center" wrapText="1"/>
    </xf>
    <xf numFmtId="3" fontId="172" fillId="52" borderId="54" xfId="962" applyNumberFormat="1" applyFont="1" applyFill="1" applyBorder="1" applyAlignment="1">
      <alignment vertical="center" wrapText="1"/>
    </xf>
    <xf numFmtId="3" fontId="172" fillId="52" borderId="54" xfId="966" applyNumberFormat="1" applyFont="1" applyFill="1" applyBorder="1" applyAlignment="1">
      <alignment vertical="center" wrapText="1"/>
    </xf>
    <xf numFmtId="3" fontId="172" fillId="0" borderId="54" xfId="968" applyNumberFormat="1" applyFont="1" applyFill="1" applyBorder="1" applyAlignment="1">
      <alignment horizontal="center" vertical="center" wrapText="1"/>
    </xf>
    <xf numFmtId="3" fontId="172" fillId="0" borderId="54" xfId="0" applyNumberFormat="1" applyFont="1" applyFill="1" applyBorder="1" applyAlignment="1">
      <alignment vertical="center" wrapText="1"/>
    </xf>
    <xf numFmtId="3" fontId="172" fillId="0" borderId="54" xfId="0" applyNumberFormat="1" applyFont="1" applyFill="1" applyBorder="1" applyAlignment="1">
      <alignment vertical="center"/>
    </xf>
    <xf numFmtId="3" fontId="172" fillId="52" borderId="54" xfId="0" applyNumberFormat="1" applyFont="1" applyFill="1" applyBorder="1" applyAlignment="1">
      <alignment horizontal="right" vertical="center"/>
    </xf>
    <xf numFmtId="3" fontId="42" fillId="55" borderId="0" xfId="0" applyNumberFormat="1" applyFont="1" applyFill="1" applyAlignment="1">
      <alignment vertical="center"/>
    </xf>
    <xf numFmtId="3" fontId="42" fillId="0" borderId="54" xfId="968" applyNumberFormat="1" applyFont="1" applyFill="1" applyBorder="1" applyAlignment="1">
      <alignment horizontal="center" vertical="center" wrapText="1"/>
    </xf>
    <xf numFmtId="3" fontId="42" fillId="0" borderId="54" xfId="0" applyNumberFormat="1" applyFont="1" applyFill="1" applyBorder="1" applyAlignment="1">
      <alignment vertical="center" wrapText="1"/>
    </xf>
    <xf numFmtId="3" fontId="42" fillId="0" borderId="54" xfId="968" applyNumberFormat="1" applyFont="1" applyFill="1" applyBorder="1" applyAlignment="1">
      <alignment vertical="center" wrapText="1"/>
    </xf>
    <xf numFmtId="0" fontId="42" fillId="0" borderId="54" xfId="968" applyFont="1" applyFill="1" applyBorder="1" applyAlignment="1">
      <alignment vertical="center" wrapText="1"/>
    </xf>
    <xf numFmtId="257" fontId="42" fillId="0" borderId="54" xfId="962" applyNumberFormat="1" applyFont="1" applyFill="1" applyBorder="1" applyAlignment="1">
      <alignment vertical="center" wrapText="1"/>
    </xf>
    <xf numFmtId="3" fontId="42" fillId="0" borderId="54" xfId="968" applyNumberFormat="1" applyFont="1" applyFill="1" applyBorder="1" applyAlignment="1">
      <alignment horizontal="right" vertical="center" wrapText="1"/>
    </xf>
    <xf numFmtId="3" fontId="42" fillId="0" borderId="54" xfId="966" applyNumberFormat="1" applyFont="1" applyFill="1" applyBorder="1" applyAlignment="1">
      <alignment vertical="center" wrapText="1"/>
    </xf>
    <xf numFmtId="3" fontId="42" fillId="51" borderId="54" xfId="0" applyNumberFormat="1" applyFont="1" applyFill="1" applyBorder="1" applyAlignment="1">
      <alignment vertical="center"/>
    </xf>
    <xf numFmtId="3" fontId="205" fillId="0" borderId="54" xfId="2" applyNumberFormat="1" applyFont="1" applyFill="1" applyBorder="1" applyAlignment="1">
      <alignment horizontal="center" vertical="center" wrapText="1"/>
    </xf>
    <xf numFmtId="0" fontId="172" fillId="0" borderId="54" xfId="0" applyFont="1" applyBorder="1" applyAlignment="1">
      <alignment wrapText="1"/>
    </xf>
    <xf numFmtId="3" fontId="205" fillId="0" borderId="54" xfId="0" applyNumberFormat="1" applyFont="1" applyFill="1" applyBorder="1" applyAlignment="1">
      <alignment vertical="center"/>
    </xf>
    <xf numFmtId="3" fontId="205" fillId="0" borderId="0" xfId="0" applyNumberFormat="1" applyFont="1" applyFill="1" applyAlignment="1">
      <alignment vertical="center"/>
    </xf>
    <xf numFmtId="3" fontId="212" fillId="52" borderId="54" xfId="968" applyNumberFormat="1" applyFont="1" applyFill="1" applyBorder="1" applyAlignment="1">
      <alignment horizontal="center" vertical="center" wrapText="1"/>
    </xf>
    <xf numFmtId="3" fontId="194" fillId="52" borderId="54" xfId="3" applyNumberFormat="1" applyFont="1" applyFill="1" applyBorder="1" applyAlignment="1" applyProtection="1">
      <alignment horizontal="center" vertical="center" wrapText="1"/>
    </xf>
    <xf numFmtId="3" fontId="194" fillId="59" borderId="16" xfId="0" applyNumberFormat="1" applyFont="1" applyFill="1" applyBorder="1" applyAlignment="1">
      <alignment horizontal="center" vertical="center"/>
    </xf>
    <xf numFmtId="3" fontId="194" fillId="59" borderId="54" xfId="0" applyNumberFormat="1" applyFont="1" applyFill="1" applyBorder="1" applyAlignment="1">
      <alignment horizontal="center" vertical="center"/>
    </xf>
    <xf numFmtId="3" fontId="173" fillId="59" borderId="16" xfId="2" applyNumberFormat="1" applyFont="1" applyFill="1" applyBorder="1" applyAlignment="1">
      <alignment horizontal="left" vertical="center" wrapText="1"/>
    </xf>
    <xf numFmtId="3" fontId="42" fillId="59" borderId="16" xfId="0" applyNumberFormat="1" applyFont="1" applyFill="1" applyBorder="1" applyAlignment="1">
      <alignment vertical="center"/>
    </xf>
    <xf numFmtId="3" fontId="172" fillId="59" borderId="0" xfId="0" applyNumberFormat="1" applyFont="1" applyFill="1" applyAlignment="1">
      <alignment vertical="center"/>
    </xf>
    <xf numFmtId="3" fontId="172" fillId="59" borderId="16" xfId="0" applyNumberFormat="1" applyFont="1" applyFill="1" applyBorder="1" applyAlignment="1">
      <alignment horizontal="center" vertical="center"/>
    </xf>
    <xf numFmtId="3" fontId="172" fillId="59" borderId="54" xfId="0" applyNumberFormat="1" applyFont="1" applyFill="1" applyBorder="1" applyAlignment="1">
      <alignment horizontal="center" vertical="center"/>
    </xf>
    <xf numFmtId="3" fontId="172" fillId="59" borderId="16" xfId="2" applyNumberFormat="1" applyFont="1" applyFill="1" applyBorder="1" applyAlignment="1">
      <alignment horizontal="left" vertical="center" wrapText="1"/>
    </xf>
    <xf numFmtId="0" fontId="172" fillId="52" borderId="16" xfId="0" applyFont="1" applyFill="1" applyBorder="1"/>
    <xf numFmtId="0" fontId="42" fillId="52" borderId="16" xfId="992" applyNumberFormat="1" applyFont="1" applyFill="1" applyBorder="1" applyAlignment="1">
      <alignment horizontal="left" vertical="center" wrapText="1"/>
    </xf>
    <xf numFmtId="0" fontId="42" fillId="52" borderId="16" xfId="993" applyNumberFormat="1" applyFont="1" applyFill="1" applyBorder="1" applyAlignment="1">
      <alignment horizontal="left" vertical="center" wrapText="1"/>
    </xf>
    <xf numFmtId="0" fontId="42" fillId="52" borderId="16" xfId="992" applyNumberFormat="1" applyFont="1" applyFill="1" applyBorder="1" applyAlignment="1">
      <alignment horizontal="justify" vertical="center" wrapText="1"/>
    </xf>
    <xf numFmtId="258" fontId="42" fillId="52" borderId="16" xfId="0" applyNumberFormat="1" applyFont="1" applyFill="1" applyBorder="1" applyAlignment="1">
      <alignment horizontal="left"/>
    </xf>
    <xf numFmtId="173" fontId="183" fillId="52" borderId="16" xfId="994" applyNumberFormat="1" applyFont="1" applyFill="1" applyBorder="1" applyAlignment="1">
      <alignment vertical="center" wrapText="1"/>
    </xf>
    <xf numFmtId="3" fontId="205" fillId="3" borderId="0" xfId="0" applyNumberFormat="1" applyFont="1" applyFill="1" applyAlignment="1">
      <alignment vertical="center"/>
    </xf>
    <xf numFmtId="173" fontId="42" fillId="52" borderId="54" xfId="994" applyNumberFormat="1" applyFont="1" applyFill="1" applyBorder="1" applyAlignment="1">
      <alignment vertical="center" wrapText="1"/>
    </xf>
    <xf numFmtId="173" fontId="42" fillId="52" borderId="54" xfId="994" applyNumberFormat="1" applyFont="1" applyFill="1" applyBorder="1" applyAlignment="1">
      <alignment horizontal="justify" vertical="center" wrapText="1"/>
    </xf>
    <xf numFmtId="258" fontId="42" fillId="52" borderId="54" xfId="0" applyNumberFormat="1" applyFont="1" applyFill="1" applyBorder="1"/>
    <xf numFmtId="260" fontId="196" fillId="2" borderId="54" xfId="968" applyNumberFormat="1" applyFont="1" applyFill="1" applyBorder="1" applyAlignment="1">
      <alignment horizontal="center" vertical="center" wrapText="1"/>
    </xf>
    <xf numFmtId="3" fontId="212" fillId="52" borderId="54" xfId="2" applyNumberFormat="1" applyFont="1" applyFill="1" applyBorder="1" applyAlignment="1">
      <alignment horizontal="center" vertical="center" wrapText="1"/>
    </xf>
    <xf numFmtId="173" fontId="196" fillId="2" borderId="54" xfId="586" applyNumberFormat="1" applyFont="1" applyFill="1" applyBorder="1" applyAlignment="1">
      <alignment horizontal="justify" vertical="center"/>
    </xf>
    <xf numFmtId="3" fontId="196" fillId="55" borderId="54" xfId="968" applyNumberFormat="1" applyFont="1" applyFill="1" applyBorder="1" applyAlignment="1">
      <alignment horizontal="center" vertical="center" wrapText="1"/>
    </xf>
    <xf numFmtId="173" fontId="196" fillId="55" borderId="54" xfId="586" applyNumberFormat="1" applyFont="1" applyFill="1" applyBorder="1" applyAlignment="1">
      <alignment horizontal="left" vertical="center" wrapText="1"/>
    </xf>
    <xf numFmtId="261" fontId="42" fillId="52" borderId="54" xfId="968" applyNumberFormat="1" applyFont="1" applyFill="1" applyBorder="1" applyAlignment="1">
      <alignment horizontal="center" vertical="center" wrapText="1"/>
    </xf>
    <xf numFmtId="3" fontId="202" fillId="52" borderId="54" xfId="2" applyNumberFormat="1" applyFont="1" applyFill="1" applyBorder="1" applyAlignment="1">
      <alignment horizontal="center" vertical="center" wrapText="1"/>
    </xf>
    <xf numFmtId="261" fontId="42" fillId="52" borderId="54" xfId="586" applyNumberFormat="1" applyFont="1" applyFill="1" applyBorder="1" applyAlignment="1">
      <alignment horizontal="left" vertical="center" wrapText="1"/>
    </xf>
    <xf numFmtId="3" fontId="202" fillId="52" borderId="54" xfId="966" applyNumberFormat="1" applyFont="1" applyFill="1" applyBorder="1" applyAlignment="1">
      <alignment horizontal="center" vertical="center" wrapText="1"/>
    </xf>
    <xf numFmtId="173" fontId="42" fillId="52" borderId="54" xfId="586" applyNumberFormat="1" applyFont="1" applyFill="1" applyBorder="1" applyAlignment="1">
      <alignment horizontal="left" vertical="center" wrapText="1"/>
    </xf>
    <xf numFmtId="173" fontId="42" fillId="0" borderId="18" xfId="966" applyNumberFormat="1" applyFont="1" applyFill="1" applyBorder="1" applyAlignment="1">
      <alignment vertical="center" wrapText="1"/>
    </xf>
    <xf numFmtId="173" fontId="42" fillId="0" borderId="18" xfId="966" applyNumberFormat="1" applyFont="1" applyFill="1" applyBorder="1" applyAlignment="1">
      <alignment horizontal="center" vertical="center" wrapText="1"/>
    </xf>
    <xf numFmtId="4" fontId="202" fillId="52" borderId="54" xfId="968" applyNumberFormat="1" applyFont="1" applyFill="1" applyBorder="1" applyAlignment="1">
      <alignment horizontal="center" vertical="center" wrapText="1"/>
    </xf>
    <xf numFmtId="173" fontId="207" fillId="52" borderId="54" xfId="968" applyNumberFormat="1" applyFont="1" applyFill="1" applyBorder="1" applyAlignment="1">
      <alignment horizontal="center" vertical="center" wrapText="1"/>
    </xf>
    <xf numFmtId="173" fontId="207" fillId="52" borderId="54" xfId="968" applyNumberFormat="1" applyFont="1" applyFill="1" applyBorder="1" applyAlignment="1">
      <alignment horizontal="left" vertical="center" wrapText="1"/>
    </xf>
    <xf numFmtId="173" fontId="42" fillId="52" borderId="54" xfId="968" applyNumberFormat="1" applyFont="1" applyFill="1" applyBorder="1" applyAlignment="1">
      <alignment horizontal="center" vertical="center" wrapText="1"/>
    </xf>
    <xf numFmtId="173" fontId="42" fillId="52" borderId="54" xfId="968" applyNumberFormat="1" applyFont="1" applyFill="1" applyBorder="1" applyAlignment="1">
      <alignment horizontal="left" vertical="center" wrapText="1"/>
    </xf>
    <xf numFmtId="260" fontId="194" fillId="55" borderId="54" xfId="968" applyNumberFormat="1" applyFont="1" applyFill="1" applyBorder="1" applyAlignment="1">
      <alignment horizontal="center" vertical="center" wrapText="1"/>
    </xf>
    <xf numFmtId="173" fontId="194" fillId="55" borderId="54" xfId="968" applyNumberFormat="1" applyFont="1" applyFill="1" applyBorder="1" applyAlignment="1">
      <alignment horizontal="left" vertical="center" wrapText="1"/>
    </xf>
    <xf numFmtId="261" fontId="207" fillId="52" borderId="54" xfId="968" applyNumberFormat="1" applyFont="1" applyFill="1" applyBorder="1" applyAlignment="1">
      <alignment horizontal="center" vertical="center" wrapText="1"/>
    </xf>
    <xf numFmtId="259" fontId="202" fillId="52" borderId="54" xfId="968" applyNumberFormat="1" applyFont="1" applyFill="1" applyBorder="1" applyAlignment="1">
      <alignment horizontal="center" vertical="center" wrapText="1"/>
    </xf>
    <xf numFmtId="4" fontId="207" fillId="55" borderId="54" xfId="968" applyNumberFormat="1" applyFont="1" applyFill="1" applyBorder="1" applyAlignment="1">
      <alignment horizontal="center" vertical="center" wrapText="1"/>
    </xf>
    <xf numFmtId="173" fontId="207" fillId="55" borderId="54" xfId="968" applyNumberFormat="1" applyFont="1" applyFill="1" applyBorder="1" applyAlignment="1">
      <alignment horizontal="left" vertical="center" wrapText="1"/>
    </xf>
    <xf numFmtId="173" fontId="42" fillId="52" borderId="54" xfId="968" applyNumberFormat="1" applyFont="1" applyFill="1" applyBorder="1" applyAlignment="1">
      <alignment vertical="center" wrapText="1"/>
    </xf>
    <xf numFmtId="3" fontId="183" fillId="2" borderId="16" xfId="968" applyNumberFormat="1" applyFont="1" applyFill="1" applyBorder="1" applyAlignment="1">
      <alignment horizontal="center" vertical="center" wrapText="1"/>
    </xf>
    <xf numFmtId="3" fontId="183" fillId="2" borderId="54" xfId="968" applyNumberFormat="1" applyFont="1" applyFill="1" applyBorder="1" applyAlignment="1">
      <alignment horizontal="center" vertical="center" wrapText="1"/>
    </xf>
    <xf numFmtId="3" fontId="202" fillId="0" borderId="54" xfId="968" applyNumberFormat="1" applyFont="1" applyFill="1" applyBorder="1" applyAlignment="1">
      <alignment horizontal="center" vertical="center" wrapText="1"/>
    </xf>
    <xf numFmtId="3" fontId="42" fillId="2" borderId="54" xfId="968" applyNumberFormat="1" applyFont="1" applyFill="1" applyBorder="1" applyAlignment="1">
      <alignment horizontal="center" vertical="center" wrapText="1"/>
    </xf>
    <xf numFmtId="173" fontId="202" fillId="0" borderId="54" xfId="968" applyNumberFormat="1" applyFont="1" applyFill="1" applyBorder="1" applyAlignment="1">
      <alignment horizontal="left" vertical="center" wrapText="1"/>
    </xf>
    <xf numFmtId="0" fontId="172" fillId="0" borderId="0" xfId="0" applyFont="1"/>
    <xf numFmtId="0" fontId="172" fillId="0" borderId="0" xfId="0" applyFont="1" applyFill="1"/>
    <xf numFmtId="3" fontId="172" fillId="52" borderId="16" xfId="0" applyNumberFormat="1" applyFont="1" applyFill="1" applyBorder="1"/>
    <xf numFmtId="173" fontId="42" fillId="52" borderId="16" xfId="968" applyNumberFormat="1" applyFont="1" applyFill="1" applyBorder="1" applyAlignment="1">
      <alignment horizontal="center" vertical="center" wrapText="1"/>
    </xf>
    <xf numFmtId="3" fontId="204" fillId="2" borderId="54" xfId="968" applyNumberFormat="1" applyFont="1" applyFill="1" applyBorder="1" applyAlignment="1">
      <alignment vertical="center" wrapText="1"/>
    </xf>
    <xf numFmtId="3" fontId="42" fillId="52" borderId="16" xfId="0" applyNumberFormat="1" applyFont="1" applyFill="1" applyBorder="1" applyAlignment="1">
      <alignment horizontal="center" vertical="center" wrapText="1"/>
    </xf>
    <xf numFmtId="3" fontId="42" fillId="52" borderId="16" xfId="2" applyNumberFormat="1" applyFont="1" applyFill="1" applyBorder="1" applyAlignment="1">
      <alignment horizontal="center" vertical="center" wrapText="1"/>
    </xf>
    <xf numFmtId="3" fontId="42" fillId="52" borderId="16" xfId="2" applyNumberFormat="1" applyFont="1" applyFill="1" applyBorder="1" applyAlignment="1">
      <alignment horizontal="justify" vertical="center" wrapText="1"/>
    </xf>
    <xf numFmtId="3" fontId="42" fillId="3" borderId="0" xfId="0" applyNumberFormat="1" applyFont="1" applyFill="1" applyAlignment="1">
      <alignment vertical="center"/>
    </xf>
    <xf numFmtId="0" fontId="42" fillId="52" borderId="16" xfId="0" applyFont="1" applyFill="1" applyBorder="1" applyAlignment="1">
      <alignment horizontal="center" vertical="center" wrapText="1"/>
    </xf>
    <xf numFmtId="0" fontId="42" fillId="52" borderId="16" xfId="968" applyFont="1" applyFill="1" applyBorder="1" applyAlignment="1">
      <alignment wrapText="1"/>
    </xf>
    <xf numFmtId="173" fontId="42" fillId="52" borderId="18" xfId="966" applyNumberFormat="1" applyFont="1" applyFill="1" applyBorder="1" applyAlignment="1">
      <alignment horizontal="center" vertical="center" wrapText="1"/>
    </xf>
    <xf numFmtId="173" fontId="42" fillId="52" borderId="18" xfId="966" applyNumberFormat="1" applyFont="1" applyFill="1" applyBorder="1" applyAlignment="1">
      <alignment vertical="center" wrapText="1"/>
    </xf>
    <xf numFmtId="3" fontId="183" fillId="52" borderId="54" xfId="2" applyNumberFormat="1" applyFont="1" applyFill="1" applyBorder="1" applyAlignment="1">
      <alignment horizontal="center" vertical="center" wrapText="1"/>
    </xf>
    <xf numFmtId="0" fontId="172" fillId="52" borderId="54" xfId="968" applyFont="1" applyFill="1" applyBorder="1" applyAlignment="1">
      <alignment horizontal="center" vertical="center" wrapText="1"/>
    </xf>
    <xf numFmtId="173" fontId="172" fillId="52" borderId="54" xfId="586" applyNumberFormat="1" applyFont="1" applyFill="1" applyBorder="1" applyAlignment="1">
      <alignment horizontal="left" vertical="center" wrapText="1"/>
    </xf>
    <xf numFmtId="173" fontId="172" fillId="52" borderId="54" xfId="586" applyNumberFormat="1" applyFont="1" applyFill="1" applyBorder="1" applyAlignment="1">
      <alignment vertical="center" wrapText="1"/>
    </xf>
    <xf numFmtId="3" fontId="172" fillId="52" borderId="18" xfId="996" applyNumberFormat="1" applyFont="1" applyFill="1" applyBorder="1" applyAlignment="1">
      <alignment vertical="center" wrapText="1"/>
    </xf>
    <xf numFmtId="3" fontId="206" fillId="52" borderId="54" xfId="0" applyNumberFormat="1" applyFont="1" applyFill="1" applyBorder="1" applyAlignment="1">
      <alignment horizontal="center" vertical="center"/>
    </xf>
    <xf numFmtId="3" fontId="183" fillId="52" borderId="16" xfId="0" applyNumberFormat="1" applyFont="1" applyFill="1" applyBorder="1" applyAlignment="1">
      <alignment horizontal="right" vertical="center"/>
    </xf>
    <xf numFmtId="3" fontId="183" fillId="0" borderId="54" xfId="0" applyNumberFormat="1" applyFont="1" applyFill="1" applyBorder="1" applyAlignment="1">
      <alignment vertical="center"/>
    </xf>
    <xf numFmtId="3" fontId="183" fillId="0" borderId="0" xfId="0" applyNumberFormat="1" applyFont="1" applyFill="1" applyAlignment="1">
      <alignment vertical="center"/>
    </xf>
    <xf numFmtId="0" fontId="172" fillId="59" borderId="16" xfId="0" applyNumberFormat="1" applyFont="1" applyFill="1" applyBorder="1" applyAlignment="1">
      <alignment horizontal="left" vertical="center" wrapText="1"/>
    </xf>
    <xf numFmtId="3" fontId="172" fillId="59" borderId="16" xfId="0" applyNumberFormat="1" applyFont="1" applyFill="1" applyBorder="1" applyAlignment="1">
      <alignment horizontal="right" vertical="center"/>
    </xf>
    <xf numFmtId="3" fontId="183" fillId="0" borderId="16" xfId="968" applyNumberFormat="1" applyFont="1" applyFill="1" applyBorder="1" applyAlignment="1">
      <alignment horizontal="center" vertical="center" wrapText="1"/>
    </xf>
    <xf numFmtId="3" fontId="183" fillId="0" borderId="54" xfId="968" applyNumberFormat="1" applyFont="1" applyFill="1" applyBorder="1" applyAlignment="1">
      <alignment horizontal="center" vertical="center" wrapText="1"/>
    </xf>
    <xf numFmtId="3" fontId="205" fillId="0" borderId="0" xfId="2" applyNumberFormat="1" applyFont="1" applyFill="1" applyBorder="1" applyAlignment="1">
      <alignment horizontal="center" vertical="center" wrapText="1"/>
    </xf>
    <xf numFmtId="3" fontId="212" fillId="52" borderId="0" xfId="968" applyNumberFormat="1" applyFont="1" applyFill="1" applyBorder="1" applyAlignment="1">
      <alignment horizontal="center" vertical="center" wrapText="1"/>
    </xf>
    <xf numFmtId="0" fontId="172" fillId="0" borderId="0" xfId="0" applyFont="1" applyBorder="1" applyAlignment="1">
      <alignment wrapText="1"/>
    </xf>
    <xf numFmtId="3" fontId="194" fillId="52" borderId="0" xfId="3" applyNumberFormat="1" applyFont="1" applyFill="1" applyBorder="1" applyAlignment="1" applyProtection="1">
      <alignment horizontal="center" vertical="center" wrapText="1"/>
    </xf>
    <xf numFmtId="3" fontId="183" fillId="0" borderId="0" xfId="0" applyNumberFormat="1" applyFont="1" applyFill="1" applyBorder="1" applyAlignment="1">
      <alignment vertical="center"/>
    </xf>
    <xf numFmtId="3" fontId="205" fillId="0" borderId="0" xfId="0" applyNumberFormat="1" applyFont="1" applyFill="1" applyBorder="1" applyAlignment="1">
      <alignment vertical="center"/>
    </xf>
    <xf numFmtId="2" fontId="42" fillId="52" borderId="0" xfId="2" applyNumberFormat="1" applyFont="1" applyFill="1" applyBorder="1" applyAlignment="1">
      <alignment horizontal="left" vertical="center" wrapText="1"/>
    </xf>
    <xf numFmtId="2" fontId="42" fillId="52" borderId="5" xfId="2" applyNumberFormat="1" applyFont="1" applyFill="1" applyBorder="1" applyAlignment="1">
      <alignment horizontal="left" vertical="center" wrapText="1"/>
    </xf>
    <xf numFmtId="3" fontId="202" fillId="52" borderId="5" xfId="2" applyNumberFormat="1" applyFont="1" applyFill="1" applyBorder="1" applyAlignment="1">
      <alignment horizontal="center" vertical="center" wrapText="1"/>
    </xf>
    <xf numFmtId="3" fontId="42" fillId="52" borderId="55" xfId="0" applyNumberFormat="1" applyFont="1" applyFill="1" applyBorder="1" applyAlignment="1">
      <alignment horizontal="center" vertical="center"/>
    </xf>
    <xf numFmtId="3" fontId="42" fillId="52" borderId="0" xfId="0" applyNumberFormat="1" applyFont="1" applyFill="1" applyBorder="1" applyAlignment="1">
      <alignment horizontal="center" vertical="center"/>
    </xf>
    <xf numFmtId="3" fontId="42" fillId="52" borderId="56" xfId="0" applyNumberFormat="1" applyFont="1" applyFill="1" applyBorder="1" applyAlignment="1">
      <alignment horizontal="center" vertical="center"/>
    </xf>
    <xf numFmtId="0" fontId="213" fillId="52" borderId="16" xfId="0" applyFont="1" applyFill="1" applyBorder="1" applyAlignment="1">
      <alignment vertical="center" wrapText="1"/>
    </xf>
    <xf numFmtId="3" fontId="213" fillId="52" borderId="16" xfId="0" applyNumberFormat="1" applyFont="1" applyFill="1" applyBorder="1" applyAlignment="1">
      <alignment horizontal="center" vertical="center"/>
    </xf>
    <xf numFmtId="2" fontId="213" fillId="52" borderId="54" xfId="2" applyNumberFormat="1" applyFont="1" applyFill="1" applyBorder="1" applyAlignment="1">
      <alignment horizontal="left" vertical="center" wrapText="1"/>
    </xf>
    <xf numFmtId="0" fontId="213" fillId="52" borderId="16" xfId="0" applyNumberFormat="1" applyFont="1" applyFill="1" applyBorder="1" applyAlignment="1">
      <alignment horizontal="left" vertical="center" wrapText="1"/>
    </xf>
    <xf numFmtId="3" fontId="213" fillId="52" borderId="16" xfId="3" applyNumberFormat="1" applyFont="1" applyFill="1" applyBorder="1" applyAlignment="1" applyProtection="1">
      <alignment horizontal="center" vertical="center" wrapText="1"/>
    </xf>
    <xf numFmtId="3" fontId="213" fillId="52" borderId="16" xfId="968" applyNumberFormat="1" applyFont="1" applyFill="1" applyBorder="1" applyAlignment="1">
      <alignment horizontal="right" vertical="center" wrapText="1"/>
    </xf>
    <xf numFmtId="3" fontId="213" fillId="52" borderId="16" xfId="0" applyNumberFormat="1" applyFont="1" applyFill="1" applyBorder="1" applyAlignment="1">
      <alignment horizontal="right" vertical="center"/>
    </xf>
    <xf numFmtId="180" fontId="213" fillId="52" borderId="16" xfId="962" applyNumberFormat="1" applyFont="1" applyFill="1" applyBorder="1" applyAlignment="1">
      <alignment horizontal="right" vertical="center" wrapText="1"/>
    </xf>
    <xf numFmtId="3" fontId="213" fillId="52" borderId="16" xfId="4" applyNumberFormat="1" applyFont="1" applyFill="1" applyBorder="1" applyAlignment="1">
      <alignment horizontal="right" vertical="center" wrapText="1"/>
    </xf>
    <xf numFmtId="3" fontId="213" fillId="52" borderId="16" xfId="966" applyNumberFormat="1" applyFont="1" applyFill="1" applyBorder="1" applyAlignment="1">
      <alignment horizontal="right" vertical="center" wrapText="1"/>
    </xf>
    <xf numFmtId="3" fontId="213" fillId="52" borderId="16" xfId="994" applyNumberFormat="1" applyFont="1" applyFill="1" applyBorder="1" applyAlignment="1">
      <alignment horizontal="right" vertical="center" wrapText="1"/>
    </xf>
    <xf numFmtId="3" fontId="213" fillId="0" borderId="0" xfId="0" applyNumberFormat="1" applyFont="1" applyFill="1" applyAlignment="1">
      <alignment vertical="center"/>
    </xf>
    <xf numFmtId="3" fontId="213" fillId="52" borderId="16" xfId="2" applyNumberFormat="1" applyFont="1" applyFill="1" applyBorder="1" applyAlignment="1">
      <alignment horizontal="left" vertical="center" wrapText="1"/>
    </xf>
    <xf numFmtId="3" fontId="213" fillId="52" borderId="16" xfId="0" applyNumberFormat="1" applyFont="1" applyFill="1" applyBorder="1" applyAlignment="1">
      <alignment horizontal="right"/>
    </xf>
    <xf numFmtId="180" fontId="213" fillId="52" borderId="16" xfId="962" applyNumberFormat="1" applyFont="1" applyFill="1" applyBorder="1" applyAlignment="1">
      <alignment horizontal="right"/>
    </xf>
    <xf numFmtId="180" fontId="213" fillId="52" borderId="16" xfId="0" applyNumberFormat="1" applyFont="1" applyFill="1" applyBorder="1" applyAlignment="1">
      <alignment horizontal="center" vertical="center" wrapText="1"/>
    </xf>
    <xf numFmtId="3" fontId="213" fillId="52" borderId="16" xfId="4" applyNumberFormat="1" applyFont="1" applyFill="1" applyBorder="1" applyAlignment="1">
      <alignment horizontal="right" vertical="center"/>
    </xf>
    <xf numFmtId="173" fontId="213" fillId="52" borderId="54" xfId="994" applyNumberFormat="1" applyFont="1" applyFill="1" applyBorder="1" applyAlignment="1">
      <alignment vertical="center" wrapText="1"/>
    </xf>
    <xf numFmtId="0" fontId="213" fillId="52" borderId="16" xfId="994" applyNumberFormat="1" applyFont="1" applyFill="1" applyBorder="1" applyAlignment="1">
      <alignment vertical="center" wrapText="1"/>
    </xf>
    <xf numFmtId="0" fontId="213" fillId="52" borderId="16" xfId="994" applyNumberFormat="1" applyFont="1" applyFill="1" applyBorder="1" applyAlignment="1">
      <alignment horizontal="left" vertical="center" wrapText="1"/>
    </xf>
    <xf numFmtId="258" fontId="213" fillId="52" borderId="16" xfId="0" applyNumberFormat="1" applyFont="1" applyFill="1" applyBorder="1" applyAlignment="1">
      <alignment horizontal="left" vertical="center"/>
    </xf>
    <xf numFmtId="173" fontId="213" fillId="52" borderId="16" xfId="586" applyNumberFormat="1" applyFont="1" applyFill="1" applyBorder="1" applyAlignment="1">
      <alignment horizontal="justify" vertical="center" wrapText="1"/>
    </xf>
    <xf numFmtId="0" fontId="213" fillId="52" borderId="16" xfId="0" applyNumberFormat="1" applyFont="1" applyFill="1" applyBorder="1" applyAlignment="1">
      <alignment wrapText="1"/>
    </xf>
    <xf numFmtId="173" fontId="213" fillId="52" borderId="54" xfId="994" applyNumberFormat="1" applyFont="1" applyFill="1" applyBorder="1" applyAlignment="1">
      <alignment horizontal="justify" vertical="center" wrapText="1"/>
    </xf>
    <xf numFmtId="3" fontId="213" fillId="52" borderId="16" xfId="0" applyNumberFormat="1" applyFont="1" applyFill="1" applyBorder="1" applyAlignment="1">
      <alignment vertical="center" wrapText="1"/>
    </xf>
    <xf numFmtId="0" fontId="213" fillId="52" borderId="16" xfId="968" applyNumberFormat="1" applyFont="1" applyFill="1" applyBorder="1" applyAlignment="1">
      <alignment horizontal="left" vertical="center" wrapText="1"/>
    </xf>
    <xf numFmtId="3" fontId="213" fillId="0" borderId="54" xfId="2" applyNumberFormat="1" applyFont="1" applyFill="1" applyBorder="1" applyAlignment="1">
      <alignment horizontal="justify" vertical="center" wrapText="1"/>
    </xf>
    <xf numFmtId="0" fontId="213" fillId="52" borderId="16" xfId="0" applyFont="1" applyFill="1" applyBorder="1"/>
    <xf numFmtId="173" fontId="213" fillId="52" borderId="54" xfId="8" applyNumberFormat="1" applyFont="1" applyFill="1" applyBorder="1" applyAlignment="1">
      <alignment horizontal="left" vertical="center" wrapText="1"/>
    </xf>
    <xf numFmtId="0" fontId="213" fillId="52" borderId="54" xfId="0" applyFont="1" applyFill="1" applyBorder="1" applyAlignment="1">
      <alignment wrapText="1"/>
    </xf>
    <xf numFmtId="4" fontId="213" fillId="52" borderId="54" xfId="0" applyNumberFormat="1" applyFont="1" applyFill="1" applyBorder="1" applyAlignment="1"/>
    <xf numFmtId="0" fontId="213" fillId="52" borderId="55" xfId="0" applyFont="1" applyFill="1" applyBorder="1" applyAlignment="1">
      <alignment wrapText="1"/>
    </xf>
    <xf numFmtId="0" fontId="213" fillId="52" borderId="56" xfId="0" applyFont="1" applyFill="1" applyBorder="1" applyAlignment="1"/>
    <xf numFmtId="0" fontId="213" fillId="52" borderId="56" xfId="0" applyFont="1" applyFill="1" applyBorder="1" applyAlignment="1">
      <alignment wrapText="1"/>
    </xf>
    <xf numFmtId="173" fontId="213" fillId="52" borderId="16" xfId="586" applyNumberFormat="1" applyFont="1" applyFill="1" applyBorder="1" applyAlignment="1">
      <alignment vertical="center" wrapText="1"/>
    </xf>
    <xf numFmtId="4" fontId="186" fillId="52" borderId="12" xfId="2" applyNumberFormat="1" applyFont="1" applyFill="1" applyBorder="1" applyAlignment="1">
      <alignment horizontal="center" vertical="center" wrapText="1"/>
    </xf>
    <xf numFmtId="3" fontId="186" fillId="52" borderId="12" xfId="2" applyNumberFormat="1" applyFont="1" applyFill="1" applyBorder="1" applyAlignment="1">
      <alignment horizontal="center" vertical="center" wrapText="1"/>
    </xf>
    <xf numFmtId="1" fontId="175" fillId="52" borderId="16" xfId="2" applyNumberFormat="1" applyFont="1" applyFill="1" applyBorder="1" applyAlignment="1">
      <alignment horizontal="left" vertical="center" wrapText="1"/>
    </xf>
    <xf numFmtId="2" fontId="175" fillId="52" borderId="54" xfId="2" applyNumberFormat="1" applyFont="1" applyFill="1" applyBorder="1" applyAlignment="1">
      <alignment horizontal="left" vertical="center" wrapText="1"/>
    </xf>
    <xf numFmtId="3" fontId="175" fillId="52" borderId="16" xfId="2" applyNumberFormat="1" applyFont="1" applyFill="1" applyBorder="1" applyAlignment="1">
      <alignment horizontal="center" vertical="center" wrapText="1"/>
    </xf>
    <xf numFmtId="2" fontId="188" fillId="52" borderId="16" xfId="2" applyNumberFormat="1" applyFont="1" applyFill="1" applyBorder="1" applyAlignment="1">
      <alignment horizontal="left" vertical="center" wrapText="1"/>
    </xf>
    <xf numFmtId="2" fontId="188" fillId="52" borderId="54" xfId="2" applyNumberFormat="1" applyFont="1" applyFill="1" applyBorder="1" applyAlignment="1">
      <alignment horizontal="left" vertical="center" wrapText="1"/>
    </xf>
    <xf numFmtId="3" fontId="188" fillId="52" borderId="16" xfId="2" applyNumberFormat="1" applyFont="1" applyFill="1" applyBorder="1" applyAlignment="1">
      <alignment horizontal="left" vertical="center" wrapText="1"/>
    </xf>
    <xf numFmtId="2" fontId="180" fillId="52" borderId="16" xfId="2" applyNumberFormat="1" applyFont="1" applyFill="1" applyBorder="1" applyAlignment="1">
      <alignment horizontal="left" vertical="center" wrapText="1"/>
    </xf>
    <xf numFmtId="2" fontId="180" fillId="52" borderId="54" xfId="2" applyNumberFormat="1" applyFont="1" applyFill="1" applyBorder="1" applyAlignment="1">
      <alignment horizontal="left" vertical="center" wrapText="1"/>
    </xf>
    <xf numFmtId="3" fontId="188" fillId="52" borderId="0" xfId="0" applyNumberFormat="1" applyFont="1" applyFill="1" applyAlignment="1">
      <alignment vertical="center"/>
    </xf>
    <xf numFmtId="2" fontId="184" fillId="52" borderId="16" xfId="2" applyNumberFormat="1" applyFont="1" applyFill="1" applyBorder="1" applyAlignment="1">
      <alignment horizontal="left" vertical="center" wrapText="1"/>
    </xf>
    <xf numFmtId="2" fontId="184" fillId="52" borderId="54" xfId="2" applyNumberFormat="1" applyFont="1" applyFill="1" applyBorder="1" applyAlignment="1">
      <alignment horizontal="left" vertical="center" wrapText="1"/>
    </xf>
    <xf numFmtId="3" fontId="180" fillId="52" borderId="16" xfId="0" applyNumberFormat="1" applyFont="1" applyFill="1" applyBorder="1" applyAlignment="1">
      <alignment horizontal="center" vertical="center"/>
    </xf>
    <xf numFmtId="4" fontId="188" fillId="52" borderId="16" xfId="0" applyNumberFormat="1" applyFont="1" applyFill="1" applyBorder="1" applyAlignment="1">
      <alignment horizontal="center" vertical="center"/>
    </xf>
    <xf numFmtId="3" fontId="180" fillId="52" borderId="16" xfId="968" applyNumberFormat="1" applyFont="1" applyFill="1" applyBorder="1" applyAlignment="1">
      <alignment vertical="center" wrapText="1"/>
    </xf>
    <xf numFmtId="4" fontId="188" fillId="52" borderId="16" xfId="968" applyNumberFormat="1" applyFont="1" applyFill="1" applyBorder="1" applyAlignment="1">
      <alignment horizontal="center" vertical="center" wrapText="1"/>
    </xf>
    <xf numFmtId="3" fontId="184" fillId="52" borderId="16" xfId="968" applyNumberFormat="1" applyFont="1" applyFill="1" applyBorder="1" applyAlignment="1">
      <alignment horizontal="center" vertical="center" wrapText="1"/>
    </xf>
    <xf numFmtId="4" fontId="188" fillId="0" borderId="16" xfId="0" applyNumberFormat="1" applyFont="1" applyFill="1" applyBorder="1" applyAlignment="1">
      <alignment horizontal="center" vertical="center"/>
    </xf>
    <xf numFmtId="3" fontId="180" fillId="0" borderId="16" xfId="0" applyNumberFormat="1" applyFont="1" applyFill="1" applyBorder="1" applyAlignment="1">
      <alignment horizontal="center"/>
    </xf>
    <xf numFmtId="3" fontId="180" fillId="52" borderId="16" xfId="0" applyNumberFormat="1" applyFont="1" applyFill="1" applyBorder="1" applyAlignment="1">
      <alignment horizontal="center"/>
    </xf>
    <xf numFmtId="3" fontId="175" fillId="52" borderId="16" xfId="968" applyNumberFormat="1" applyFont="1" applyFill="1" applyBorder="1" applyAlignment="1">
      <alignment horizontal="center" vertical="center" wrapText="1"/>
    </xf>
    <xf numFmtId="3" fontId="215" fillId="52" borderId="16" xfId="0" applyNumberFormat="1" applyFont="1" applyFill="1" applyBorder="1" applyAlignment="1">
      <alignment horizontal="center" vertical="center"/>
    </xf>
    <xf numFmtId="2" fontId="215" fillId="52" borderId="54" xfId="2" applyNumberFormat="1" applyFont="1" applyFill="1" applyBorder="1" applyAlignment="1">
      <alignment horizontal="left" vertical="center" wrapText="1"/>
    </xf>
    <xf numFmtId="3" fontId="215" fillId="0" borderId="0" xfId="0" applyNumberFormat="1" applyFont="1" applyFill="1" applyAlignment="1">
      <alignment vertical="center"/>
    </xf>
    <xf numFmtId="3" fontId="180" fillId="52" borderId="16" xfId="968" applyNumberFormat="1" applyFont="1" applyFill="1" applyBorder="1" applyAlignment="1">
      <alignment horizontal="center" vertical="center" wrapText="1"/>
    </xf>
    <xf numFmtId="3" fontId="181" fillId="52" borderId="16" xfId="0" applyNumberFormat="1" applyFont="1" applyFill="1" applyBorder="1" applyAlignment="1">
      <alignment horizontal="center" vertical="center"/>
    </xf>
    <xf numFmtId="2" fontId="181" fillId="52" borderId="54" xfId="2" applyNumberFormat="1" applyFont="1" applyFill="1" applyBorder="1" applyAlignment="1">
      <alignment horizontal="left" vertical="center" wrapText="1"/>
    </xf>
    <xf numFmtId="3" fontId="184" fillId="52" borderId="16" xfId="0" applyNumberFormat="1" applyFont="1" applyFill="1" applyBorder="1" applyAlignment="1">
      <alignment horizontal="center" vertical="center"/>
    </xf>
    <xf numFmtId="3" fontId="176" fillId="52" borderId="54" xfId="2" applyNumberFormat="1" applyFont="1" applyFill="1" applyBorder="1" applyAlignment="1">
      <alignment horizontal="center" vertical="center" wrapText="1"/>
    </xf>
    <xf numFmtId="260" fontId="181" fillId="2" borderId="54" xfId="968" applyNumberFormat="1" applyFont="1" applyFill="1" applyBorder="1" applyAlignment="1">
      <alignment horizontal="center" vertical="center" wrapText="1"/>
    </xf>
    <xf numFmtId="3" fontId="182" fillId="52" borderId="54" xfId="2" applyNumberFormat="1" applyFont="1" applyFill="1" applyBorder="1" applyAlignment="1">
      <alignment horizontal="center" vertical="center" wrapText="1"/>
    </xf>
    <xf numFmtId="3" fontId="181" fillId="55" borderId="54" xfId="968" applyNumberFormat="1" applyFont="1" applyFill="1" applyBorder="1" applyAlignment="1">
      <alignment horizontal="center" vertical="center" wrapText="1"/>
    </xf>
    <xf numFmtId="261" fontId="180" fillId="52" borderId="54" xfId="968" applyNumberFormat="1" applyFont="1" applyFill="1" applyBorder="1" applyAlignment="1">
      <alignment horizontal="center" vertical="center" wrapText="1"/>
    </xf>
    <xf numFmtId="3" fontId="187" fillId="52" borderId="54" xfId="2" applyNumberFormat="1" applyFont="1" applyFill="1" applyBorder="1" applyAlignment="1">
      <alignment horizontal="center" vertical="center" wrapText="1"/>
    </xf>
    <xf numFmtId="4" fontId="187" fillId="52" borderId="54" xfId="968" applyNumberFormat="1" applyFont="1" applyFill="1" applyBorder="1" applyAlignment="1">
      <alignment horizontal="center" vertical="center" wrapText="1"/>
    </xf>
    <xf numFmtId="173" fontId="199" fillId="52" borderId="54" xfId="968" applyNumberFormat="1" applyFont="1" applyFill="1" applyBorder="1" applyAlignment="1">
      <alignment horizontal="center" vertical="center" wrapText="1"/>
    </xf>
    <xf numFmtId="173" fontId="180" fillId="52" borderId="54" xfId="968" applyNumberFormat="1" applyFont="1" applyFill="1" applyBorder="1" applyAlignment="1">
      <alignment horizontal="center" vertical="center" wrapText="1"/>
    </xf>
    <xf numFmtId="3" fontId="180" fillId="52" borderId="54" xfId="968" applyNumberFormat="1" applyFont="1" applyFill="1" applyBorder="1" applyAlignment="1">
      <alignment horizontal="center" vertical="center" wrapText="1"/>
    </xf>
    <xf numFmtId="260" fontId="192" fillId="55" borderId="54" xfId="968" applyNumberFormat="1" applyFont="1" applyFill="1" applyBorder="1" applyAlignment="1">
      <alignment horizontal="center" vertical="center" wrapText="1"/>
    </xf>
    <xf numFmtId="3" fontId="187" fillId="52" borderId="54" xfId="968" applyNumberFormat="1" applyFont="1" applyFill="1" applyBorder="1" applyAlignment="1">
      <alignment horizontal="center" vertical="center" wrapText="1"/>
    </xf>
    <xf numFmtId="259" fontId="187" fillId="52" borderId="54" xfId="968" applyNumberFormat="1" applyFont="1" applyFill="1" applyBorder="1" applyAlignment="1">
      <alignment horizontal="center" vertical="center" wrapText="1"/>
    </xf>
    <xf numFmtId="4" fontId="199" fillId="55" borderId="54" xfId="968" applyNumberFormat="1" applyFont="1" applyFill="1" applyBorder="1" applyAlignment="1">
      <alignment horizontal="center" vertical="center" wrapText="1"/>
    </xf>
    <xf numFmtId="3" fontId="175" fillId="0" borderId="16" xfId="968" applyNumberFormat="1" applyFont="1" applyFill="1" applyBorder="1" applyAlignment="1">
      <alignment horizontal="center" vertical="center" wrapText="1"/>
    </xf>
    <xf numFmtId="3" fontId="175" fillId="0" borderId="54" xfId="968" applyNumberFormat="1" applyFont="1" applyFill="1" applyBorder="1" applyAlignment="1">
      <alignment horizontal="center" vertical="center" wrapText="1"/>
    </xf>
    <xf numFmtId="3" fontId="187" fillId="0" borderId="54" xfId="968" applyNumberFormat="1" applyFont="1" applyFill="1" applyBorder="1" applyAlignment="1">
      <alignment horizontal="center" vertical="center" wrapText="1"/>
    </xf>
    <xf numFmtId="3" fontId="175" fillId="52" borderId="16" xfId="0" applyNumberFormat="1" applyFont="1" applyFill="1" applyBorder="1" applyAlignment="1">
      <alignment horizontal="center" vertical="center"/>
    </xf>
    <xf numFmtId="3" fontId="175" fillId="52" borderId="54" xfId="0" applyNumberFormat="1" applyFont="1" applyFill="1" applyBorder="1" applyAlignment="1">
      <alignment horizontal="center" vertical="center"/>
    </xf>
    <xf numFmtId="3" fontId="184" fillId="52" borderId="54" xfId="0" applyNumberFormat="1" applyFont="1" applyFill="1" applyBorder="1" applyAlignment="1">
      <alignment horizontal="center" vertical="center"/>
    </xf>
    <xf numFmtId="3" fontId="179" fillId="52" borderId="16" xfId="968" applyNumberFormat="1" applyFont="1" applyFill="1" applyBorder="1" applyAlignment="1">
      <alignment horizontal="center" vertical="center" wrapText="1"/>
    </xf>
    <xf numFmtId="0" fontId="184" fillId="0" borderId="0" xfId="0" applyFont="1"/>
    <xf numFmtId="0" fontId="184" fillId="0" borderId="0" xfId="0" applyFont="1" applyFill="1"/>
    <xf numFmtId="3" fontId="193" fillId="52" borderId="16" xfId="968" applyNumberFormat="1" applyFont="1" applyFill="1" applyBorder="1" applyAlignment="1">
      <alignment horizontal="center" vertical="center" wrapText="1"/>
    </xf>
    <xf numFmtId="3" fontId="188" fillId="52" borderId="16" xfId="0" applyNumberFormat="1" applyFont="1" applyFill="1" applyBorder="1" applyAlignment="1">
      <alignment horizontal="center" vertical="center"/>
    </xf>
    <xf numFmtId="3" fontId="180" fillId="52" borderId="54" xfId="0" applyNumberFormat="1" applyFont="1" applyFill="1" applyBorder="1" applyAlignment="1">
      <alignment horizontal="center" vertical="center"/>
    </xf>
    <xf numFmtId="3" fontId="188" fillId="52" borderId="54" xfId="0" applyNumberFormat="1" applyFont="1" applyFill="1" applyBorder="1" applyAlignment="1">
      <alignment horizontal="center" vertical="center"/>
    </xf>
    <xf numFmtId="3" fontId="180" fillId="52" borderId="16" xfId="0" applyNumberFormat="1" applyFont="1" applyFill="1" applyBorder="1" applyAlignment="1">
      <alignment horizontal="center" vertical="center" wrapText="1"/>
    </xf>
    <xf numFmtId="3" fontId="180" fillId="52" borderId="16" xfId="2" applyNumberFormat="1" applyFont="1" applyFill="1" applyBorder="1" applyAlignment="1">
      <alignment horizontal="center" vertical="center" wrapText="1"/>
    </xf>
    <xf numFmtId="3" fontId="180" fillId="3" borderId="0" xfId="0" applyNumberFormat="1" applyFont="1" applyFill="1" applyAlignment="1">
      <alignment vertical="center"/>
    </xf>
    <xf numFmtId="0" fontId="180" fillId="52" borderId="16" xfId="0" applyFont="1" applyFill="1" applyBorder="1" applyAlignment="1">
      <alignment horizontal="center" vertical="center" wrapText="1"/>
    </xf>
    <xf numFmtId="0" fontId="180" fillId="52" borderId="16" xfId="0" applyFont="1" applyFill="1" applyBorder="1" applyAlignment="1">
      <alignment horizontal="center" vertical="center"/>
    </xf>
    <xf numFmtId="0" fontId="180" fillId="52" borderId="1" xfId="0" applyFont="1" applyFill="1" applyBorder="1" applyAlignment="1">
      <alignment horizontal="center" vertical="center"/>
    </xf>
    <xf numFmtId="3" fontId="175" fillId="52" borderId="16" xfId="968" applyNumberFormat="1" applyFont="1" applyFill="1" applyBorder="1" applyAlignment="1">
      <alignment horizontal="left" vertical="center" wrapText="1"/>
    </xf>
    <xf numFmtId="3" fontId="175" fillId="52" borderId="54" xfId="2" applyNumberFormat="1" applyFont="1" applyFill="1" applyBorder="1" applyAlignment="1">
      <alignment horizontal="center" vertical="center" wrapText="1"/>
    </xf>
    <xf numFmtId="0" fontId="180" fillId="52" borderId="56" xfId="969" quotePrefix="1" applyFont="1" applyFill="1" applyBorder="1" applyAlignment="1">
      <alignment vertical="center"/>
    </xf>
    <xf numFmtId="0" fontId="180" fillId="52" borderId="56" xfId="969" applyFont="1" applyFill="1" applyBorder="1" applyAlignment="1">
      <alignment vertical="center" wrapText="1"/>
    </xf>
    <xf numFmtId="0" fontId="180" fillId="52" borderId="56" xfId="0" applyFont="1" applyFill="1" applyBorder="1" applyAlignment="1">
      <alignment horizontal="left"/>
    </xf>
    <xf numFmtId="0" fontId="215" fillId="52" borderId="56" xfId="0" applyFont="1" applyFill="1" applyBorder="1" applyAlignment="1">
      <alignment wrapText="1"/>
    </xf>
    <xf numFmtId="0" fontId="180" fillId="52" borderId="56" xfId="0" applyFont="1" applyFill="1" applyBorder="1" applyAlignment="1">
      <alignment wrapText="1"/>
    </xf>
    <xf numFmtId="0" fontId="184" fillId="52" borderId="54" xfId="968" applyFont="1" applyFill="1" applyBorder="1" applyAlignment="1">
      <alignment horizontal="center" vertical="center" wrapText="1"/>
    </xf>
    <xf numFmtId="3" fontId="185" fillId="52" borderId="16" xfId="0" applyNumberFormat="1" applyFont="1" applyFill="1" applyBorder="1" applyAlignment="1">
      <alignment horizontal="center" vertical="center"/>
    </xf>
    <xf numFmtId="3" fontId="185" fillId="52" borderId="54" xfId="0" applyNumberFormat="1" applyFont="1" applyFill="1" applyBorder="1" applyAlignment="1">
      <alignment horizontal="center" vertical="center"/>
    </xf>
    <xf numFmtId="3" fontId="187" fillId="52" borderId="54" xfId="0" applyNumberFormat="1" applyFont="1" applyFill="1" applyBorder="1" applyAlignment="1">
      <alignment horizontal="center" vertical="center"/>
    </xf>
    <xf numFmtId="3" fontId="176" fillId="52" borderId="54" xfId="0" applyNumberFormat="1" applyFont="1" applyFill="1" applyBorder="1" applyAlignment="1">
      <alignment horizontal="center" vertical="center"/>
    </xf>
    <xf numFmtId="3" fontId="188" fillId="52" borderId="16" xfId="2" applyNumberFormat="1" applyFont="1" applyFill="1" applyBorder="1" applyAlignment="1">
      <alignment horizontal="center" vertical="center" wrapText="1"/>
    </xf>
    <xf numFmtId="3" fontId="188" fillId="52" borderId="54" xfId="2" applyNumberFormat="1" applyFont="1" applyFill="1" applyBorder="1" applyAlignment="1">
      <alignment horizontal="center" vertical="center" wrapText="1"/>
    </xf>
    <xf numFmtId="3" fontId="180" fillId="52" borderId="54" xfId="2" applyNumberFormat="1" applyFont="1" applyFill="1" applyBorder="1" applyAlignment="1">
      <alignment horizontal="center" vertical="center" wrapText="1"/>
    </xf>
    <xf numFmtId="3" fontId="188" fillId="52" borderId="16" xfId="968" applyNumberFormat="1" applyFont="1" applyFill="1" applyBorder="1" applyAlignment="1">
      <alignment horizontal="center" vertical="center" wrapText="1"/>
    </xf>
    <xf numFmtId="3" fontId="188" fillId="52" borderId="54" xfId="968" applyNumberFormat="1" applyFont="1" applyFill="1" applyBorder="1" applyAlignment="1">
      <alignment horizontal="center" vertical="center" wrapText="1"/>
    </xf>
    <xf numFmtId="3" fontId="185" fillId="52" borderId="16" xfId="968" applyNumberFormat="1" applyFont="1" applyFill="1" applyBorder="1" applyAlignment="1">
      <alignment horizontal="center" vertical="center" wrapText="1"/>
    </xf>
    <xf numFmtId="3" fontId="185" fillId="52" borderId="54" xfId="968" applyNumberFormat="1" applyFont="1" applyFill="1" applyBorder="1" applyAlignment="1">
      <alignment horizontal="center" vertical="center" wrapText="1"/>
    </xf>
    <xf numFmtId="3" fontId="184" fillId="52" borderId="54" xfId="968" applyNumberFormat="1" applyFont="1" applyFill="1" applyBorder="1" applyAlignment="1">
      <alignment horizontal="center" vertical="center" wrapText="1"/>
    </xf>
    <xf numFmtId="3" fontId="182" fillId="52" borderId="54" xfId="968" applyNumberFormat="1" applyFont="1" applyFill="1" applyBorder="1" applyAlignment="1">
      <alignment horizontal="center" vertical="center" wrapText="1"/>
    </xf>
    <xf numFmtId="3" fontId="177" fillId="0" borderId="0" xfId="2" applyNumberFormat="1" applyFont="1" applyFill="1" applyBorder="1" applyAlignment="1">
      <alignment horizontal="center" vertical="center" wrapText="1"/>
    </xf>
    <xf numFmtId="3" fontId="182" fillId="52" borderId="0" xfId="968" applyNumberFormat="1" applyFont="1" applyFill="1" applyBorder="1" applyAlignment="1">
      <alignment horizontal="center" vertical="center" wrapText="1"/>
    </xf>
    <xf numFmtId="0" fontId="184" fillId="0" borderId="0" xfId="0" applyFont="1" applyBorder="1" applyAlignment="1">
      <alignment wrapText="1"/>
    </xf>
    <xf numFmtId="3" fontId="199" fillId="52" borderId="54" xfId="968" applyNumberFormat="1" applyFont="1" applyFill="1" applyBorder="1" applyAlignment="1">
      <alignment horizontal="center" vertical="center" wrapText="1"/>
    </xf>
    <xf numFmtId="3" fontId="188" fillId="2" borderId="54" xfId="968" applyNumberFormat="1" applyFont="1" applyFill="1" applyBorder="1" applyAlignment="1">
      <alignment vertical="center" wrapText="1"/>
    </xf>
    <xf numFmtId="3" fontId="188" fillId="2" borderId="54" xfId="0" applyNumberFormat="1" applyFont="1" applyFill="1" applyBorder="1" applyAlignment="1">
      <alignment horizontal="center" vertical="center"/>
    </xf>
    <xf numFmtId="3" fontId="188" fillId="2" borderId="0" xfId="0" applyNumberFormat="1" applyFont="1" applyFill="1" applyAlignment="1">
      <alignment vertical="center"/>
    </xf>
    <xf numFmtId="0" fontId="215" fillId="52" borderId="56" xfId="0" applyFont="1" applyFill="1" applyBorder="1" applyAlignment="1">
      <alignment horizontal="center" wrapText="1"/>
    </xf>
    <xf numFmtId="0" fontId="178" fillId="52" borderId="56" xfId="0" applyFont="1" applyFill="1" applyBorder="1" applyAlignment="1"/>
    <xf numFmtId="0" fontId="221" fillId="0" borderId="0" xfId="0" applyFont="1"/>
    <xf numFmtId="0" fontId="222" fillId="0" borderId="0" xfId="0" applyFont="1"/>
    <xf numFmtId="0" fontId="222" fillId="0" borderId="0" xfId="0" applyFont="1" applyAlignment="1">
      <alignment vertical="center"/>
    </xf>
    <xf numFmtId="0" fontId="223" fillId="0" borderId="54" xfId="0" applyFont="1" applyBorder="1" applyAlignment="1">
      <alignment horizontal="center" vertical="center"/>
    </xf>
    <xf numFmtId="0" fontId="223" fillId="0" borderId="54" xfId="0" applyFont="1" applyBorder="1" applyAlignment="1">
      <alignment horizontal="center" vertical="center" wrapText="1"/>
    </xf>
    <xf numFmtId="0" fontId="223" fillId="0" borderId="0" xfId="0" applyFont="1" applyAlignment="1">
      <alignment horizontal="center" vertical="center"/>
    </xf>
    <xf numFmtId="0" fontId="223" fillId="0" borderId="0" xfId="0" applyFont="1"/>
    <xf numFmtId="0" fontId="223" fillId="0" borderId="0" xfId="0" applyFont="1" applyAlignment="1">
      <alignment horizontal="center" vertical="center" wrapText="1"/>
    </xf>
    <xf numFmtId="0" fontId="225" fillId="52" borderId="0" xfId="1004" applyFont="1" applyFill="1" applyAlignment="1">
      <alignment horizontal="center" vertical="center"/>
    </xf>
    <xf numFmtId="263" fontId="225" fillId="52" borderId="0" xfId="1004" applyNumberFormat="1" applyFont="1" applyFill="1" applyAlignment="1">
      <alignment vertical="center"/>
    </xf>
    <xf numFmtId="0" fontId="225" fillId="52" borderId="0" xfId="1004" applyFont="1" applyFill="1" applyAlignment="1">
      <alignment vertical="center"/>
    </xf>
    <xf numFmtId="180" fontId="225" fillId="52" borderId="0" xfId="1005" applyNumberFormat="1" applyFont="1" applyFill="1" applyAlignment="1">
      <alignment vertical="center"/>
    </xf>
    <xf numFmtId="0" fontId="226" fillId="52" borderId="0" xfId="1004" applyFont="1" applyFill="1" applyAlignment="1">
      <alignment vertical="center"/>
    </xf>
    <xf numFmtId="173" fontId="225" fillId="52" borderId="0" xfId="1004" applyNumberFormat="1" applyFont="1" applyFill="1" applyAlignment="1">
      <alignment vertical="center"/>
    </xf>
    <xf numFmtId="0" fontId="225" fillId="52" borderId="14" xfId="1006" applyFont="1" applyFill="1" applyBorder="1" applyAlignment="1">
      <alignment vertical="center" wrapText="1"/>
    </xf>
    <xf numFmtId="263" fontId="225" fillId="52" borderId="14" xfId="1006" applyNumberFormat="1" applyFont="1" applyFill="1" applyBorder="1" applyAlignment="1">
      <alignment vertical="center" wrapText="1"/>
    </xf>
    <xf numFmtId="180" fontId="225" fillId="52" borderId="14" xfId="1005" applyNumberFormat="1" applyFont="1" applyFill="1" applyBorder="1" applyAlignment="1">
      <alignment vertical="center" wrapText="1"/>
    </xf>
    <xf numFmtId="0" fontId="225" fillId="52" borderId="14" xfId="1004" applyFont="1" applyFill="1" applyBorder="1" applyAlignment="1"/>
    <xf numFmtId="263" fontId="225" fillId="52" borderId="18" xfId="1006" applyNumberFormat="1" applyFont="1" applyFill="1" applyBorder="1" applyAlignment="1">
      <alignment horizontal="right" vertical="center" wrapText="1"/>
    </xf>
    <xf numFmtId="180" fontId="225" fillId="52" borderId="18" xfId="1006" applyNumberFormat="1" applyFont="1" applyFill="1" applyBorder="1" applyAlignment="1">
      <alignment horizontal="right" vertical="center" wrapText="1"/>
    </xf>
    <xf numFmtId="263" fontId="220" fillId="52" borderId="18" xfId="1006" applyNumberFormat="1" applyFont="1" applyFill="1" applyBorder="1" applyAlignment="1">
      <alignment vertical="center" wrapText="1"/>
    </xf>
    <xf numFmtId="0" fontId="225" fillId="52" borderId="18" xfId="969" applyFont="1" applyFill="1" applyBorder="1" applyAlignment="1">
      <alignment horizontal="center" vertical="center"/>
    </xf>
    <xf numFmtId="0" fontId="225" fillId="52" borderId="18" xfId="969" quotePrefix="1" applyFont="1" applyFill="1" applyBorder="1" applyAlignment="1">
      <alignment vertical="center" wrapText="1"/>
    </xf>
    <xf numFmtId="3" fontId="225" fillId="52" borderId="18" xfId="586" applyNumberFormat="1" applyFont="1" applyFill="1" applyBorder="1" applyAlignment="1">
      <alignment horizontal="center" vertical="center"/>
    </xf>
    <xf numFmtId="3" fontId="225" fillId="52" borderId="18" xfId="586" applyNumberFormat="1" applyFont="1" applyFill="1" applyBorder="1" applyAlignment="1">
      <alignment vertical="center"/>
    </xf>
    <xf numFmtId="180" fontId="225" fillId="52" borderId="18" xfId="1008" applyNumberFormat="1" applyFont="1" applyFill="1" applyBorder="1" applyAlignment="1">
      <alignment vertical="center" wrapText="1"/>
    </xf>
    <xf numFmtId="3" fontId="225" fillId="52" borderId="18" xfId="968" applyNumberFormat="1" applyFont="1" applyFill="1" applyBorder="1" applyAlignment="1">
      <alignment horizontal="center" vertical="center" wrapText="1"/>
    </xf>
    <xf numFmtId="3" fontId="225" fillId="52" borderId="18" xfId="968" applyNumberFormat="1" applyFont="1" applyFill="1" applyBorder="1" applyAlignment="1">
      <alignment horizontal="left" vertical="center" wrapText="1"/>
    </xf>
    <xf numFmtId="3" fontId="225" fillId="52" borderId="18" xfId="1009" applyNumberFormat="1" applyFont="1" applyFill="1" applyBorder="1" applyAlignment="1" applyProtection="1">
      <alignment vertical="center" wrapText="1"/>
    </xf>
    <xf numFmtId="3" fontId="225" fillId="52" borderId="18" xfId="1009" applyNumberFormat="1" applyFont="1" applyFill="1" applyBorder="1" applyAlignment="1" applyProtection="1">
      <alignment horizontal="right" vertical="center" wrapText="1"/>
    </xf>
    <xf numFmtId="3" fontId="225" fillId="52" borderId="18" xfId="586" applyNumberFormat="1" applyFont="1" applyFill="1" applyBorder="1" applyAlignment="1">
      <alignment horizontal="justify" vertical="center"/>
    </xf>
    <xf numFmtId="3" fontId="220" fillId="52" borderId="18" xfId="586" applyNumberFormat="1" applyFont="1" applyFill="1" applyBorder="1" applyAlignment="1">
      <alignment vertical="center"/>
    </xf>
    <xf numFmtId="263" fontId="225" fillId="52" borderId="18" xfId="586" applyNumberFormat="1" applyFont="1" applyFill="1" applyBorder="1" applyAlignment="1">
      <alignment vertical="center"/>
    </xf>
    <xf numFmtId="263" fontId="225" fillId="52" borderId="18" xfId="586" applyNumberFormat="1" applyFont="1" applyFill="1" applyBorder="1" applyAlignment="1">
      <alignment horizontal="center" vertical="center"/>
    </xf>
    <xf numFmtId="0" fontId="225" fillId="52" borderId="18" xfId="994" applyNumberFormat="1" applyFont="1" applyFill="1" applyBorder="1" applyAlignment="1">
      <alignment horizontal="left" vertical="center" wrapText="1"/>
    </xf>
    <xf numFmtId="3" fontId="225" fillId="52" borderId="18" xfId="586" applyNumberFormat="1" applyFont="1" applyFill="1" applyBorder="1" applyAlignment="1">
      <alignment horizontal="justify" vertical="center" wrapText="1"/>
    </xf>
    <xf numFmtId="173" fontId="225" fillId="52" borderId="18" xfId="968" applyNumberFormat="1" applyFont="1" applyFill="1" applyBorder="1" applyAlignment="1">
      <alignment horizontal="center" vertical="center" wrapText="1"/>
    </xf>
    <xf numFmtId="173" fontId="225" fillId="52" borderId="18" xfId="994" applyNumberFormat="1" applyFont="1" applyFill="1" applyBorder="1" applyAlignment="1">
      <alignment vertical="center"/>
    </xf>
    <xf numFmtId="263" fontId="220" fillId="52" borderId="18" xfId="586" applyNumberFormat="1" applyFont="1" applyFill="1" applyBorder="1" applyAlignment="1">
      <alignment vertical="center"/>
    </xf>
    <xf numFmtId="180" fontId="225" fillId="52" borderId="18" xfId="586" applyNumberFormat="1" applyFont="1" applyFill="1" applyBorder="1" applyAlignment="1">
      <alignment vertical="center"/>
    </xf>
    <xf numFmtId="173" fontId="225" fillId="52" borderId="18" xfId="586" applyNumberFormat="1" applyFont="1" applyFill="1" applyBorder="1" applyAlignment="1">
      <alignment vertical="center"/>
    </xf>
    <xf numFmtId="180" fontId="220" fillId="52" borderId="18" xfId="586" applyNumberFormat="1" applyFont="1" applyFill="1" applyBorder="1" applyAlignment="1">
      <alignment vertical="center"/>
    </xf>
    <xf numFmtId="3" fontId="225" fillId="52" borderId="18" xfId="586" applyNumberFormat="1" applyFont="1" applyFill="1" applyBorder="1" applyAlignment="1">
      <alignment vertical="center" wrapText="1"/>
    </xf>
    <xf numFmtId="0" fontId="225" fillId="52" borderId="18" xfId="969" applyFont="1" applyFill="1" applyBorder="1" applyAlignment="1">
      <alignment vertical="center"/>
    </xf>
    <xf numFmtId="3" fontId="225" fillId="52" borderId="18" xfId="586" applyNumberFormat="1" applyFont="1" applyFill="1" applyBorder="1" applyAlignment="1"/>
    <xf numFmtId="3" fontId="225" fillId="52" borderId="18" xfId="586" applyNumberFormat="1" applyFont="1" applyFill="1" applyBorder="1"/>
    <xf numFmtId="3" fontId="220" fillId="52" borderId="18" xfId="586" applyNumberFormat="1" applyFont="1" applyFill="1" applyBorder="1" applyAlignment="1"/>
    <xf numFmtId="3" fontId="227" fillId="52" borderId="18" xfId="586" applyNumberFormat="1" applyFont="1" applyFill="1" applyBorder="1" applyAlignment="1">
      <alignment vertical="center"/>
    </xf>
    <xf numFmtId="3" fontId="227" fillId="52" borderId="18" xfId="586" applyNumberFormat="1" applyFont="1" applyFill="1" applyBorder="1" applyAlignment="1">
      <alignment vertical="center" wrapText="1"/>
    </xf>
    <xf numFmtId="173" fontId="228" fillId="52" borderId="18" xfId="966" applyNumberFormat="1" applyFont="1" applyFill="1" applyBorder="1" applyAlignment="1">
      <alignment vertical="center" wrapText="1"/>
    </xf>
    <xf numFmtId="3" fontId="219" fillId="52" borderId="18" xfId="586" applyNumberFormat="1" applyFont="1" applyFill="1" applyBorder="1" applyAlignment="1">
      <alignment vertical="center"/>
    </xf>
    <xf numFmtId="3" fontId="225" fillId="52" borderId="18" xfId="586" applyNumberFormat="1" applyFont="1" applyFill="1" applyBorder="1" applyAlignment="1">
      <alignment horizontal="right" vertical="center"/>
    </xf>
    <xf numFmtId="173" fontId="229" fillId="52" borderId="18" xfId="968" applyNumberFormat="1" applyFont="1" applyFill="1" applyBorder="1" applyAlignment="1">
      <alignment vertical="center" wrapText="1"/>
    </xf>
    <xf numFmtId="0" fontId="219" fillId="52" borderId="18" xfId="1004" applyFont="1" applyFill="1" applyBorder="1" applyAlignment="1">
      <alignment horizontal="center" vertical="center"/>
    </xf>
    <xf numFmtId="0" fontId="220" fillId="52" borderId="18" xfId="1004" applyFont="1" applyFill="1" applyBorder="1" applyAlignment="1">
      <alignment vertical="center" wrapText="1"/>
    </xf>
    <xf numFmtId="263" fontId="220" fillId="52" borderId="18" xfId="1006" applyNumberFormat="1" applyFont="1" applyFill="1" applyBorder="1" applyAlignment="1">
      <alignment horizontal="right" vertical="center" wrapText="1"/>
    </xf>
    <xf numFmtId="180" fontId="219" fillId="52" borderId="18" xfId="1005" applyNumberFormat="1" applyFont="1" applyFill="1" applyBorder="1" applyAlignment="1">
      <alignment horizontal="right" vertical="center" wrapText="1"/>
    </xf>
    <xf numFmtId="180" fontId="238" fillId="52" borderId="0" xfId="1005" applyNumberFormat="1" applyFont="1" applyFill="1" applyAlignment="1">
      <alignment vertical="center"/>
    </xf>
    <xf numFmtId="0" fontId="238" fillId="52" borderId="0" xfId="1004" applyFont="1" applyFill="1" applyAlignment="1">
      <alignment vertical="center"/>
    </xf>
    <xf numFmtId="0" fontId="220" fillId="52" borderId="18" xfId="969" applyFont="1" applyFill="1" applyBorder="1" applyAlignment="1">
      <alignment horizontal="center" vertical="center"/>
    </xf>
    <xf numFmtId="173" fontId="220" fillId="52" borderId="18" xfId="8" applyNumberFormat="1" applyFont="1" applyFill="1" applyBorder="1" applyAlignment="1">
      <alignment horizontal="left" vertical="center" wrapText="1"/>
    </xf>
    <xf numFmtId="180" fontId="220" fillId="52" borderId="18" xfId="1006" applyNumberFormat="1" applyFont="1" applyFill="1" applyBorder="1" applyAlignment="1">
      <alignment horizontal="right" vertical="center" wrapText="1"/>
    </xf>
    <xf numFmtId="180" fontId="219" fillId="52" borderId="18" xfId="1007" applyNumberFormat="1" applyFont="1" applyFill="1" applyBorder="1" applyAlignment="1">
      <alignment vertical="center" wrapText="1"/>
    </xf>
    <xf numFmtId="0" fontId="225" fillId="52" borderId="18" xfId="969" quotePrefix="1" applyFont="1" applyFill="1" applyBorder="1" applyAlignment="1">
      <alignment vertical="center"/>
    </xf>
    <xf numFmtId="0" fontId="220" fillId="52" borderId="65" xfId="1006" applyFont="1" applyFill="1" applyBorder="1" applyAlignment="1">
      <alignment horizontal="center" vertical="center" wrapText="1"/>
    </xf>
    <xf numFmtId="0" fontId="220" fillId="52" borderId="65" xfId="1004" applyFont="1" applyFill="1" applyBorder="1" applyAlignment="1">
      <alignment horizontal="center" vertical="center" wrapText="1"/>
    </xf>
    <xf numFmtId="166" fontId="220" fillId="52" borderId="65" xfId="1004" applyNumberFormat="1" applyFont="1" applyFill="1" applyBorder="1" applyAlignment="1">
      <alignment horizontal="center" vertical="center" wrapText="1"/>
    </xf>
    <xf numFmtId="180" fontId="220" fillId="52" borderId="65" xfId="1005" applyNumberFormat="1" applyFont="1" applyFill="1" applyBorder="1" applyAlignment="1">
      <alignment horizontal="center" vertical="center" wrapText="1"/>
    </xf>
    <xf numFmtId="180" fontId="220" fillId="52" borderId="14" xfId="1005" applyNumberFormat="1" applyFont="1" applyFill="1" applyBorder="1" applyAlignment="1">
      <alignment vertical="center" wrapText="1"/>
    </xf>
    <xf numFmtId="180" fontId="220" fillId="52" borderId="18" xfId="1005" applyNumberFormat="1" applyFont="1" applyFill="1" applyBorder="1" applyAlignment="1">
      <alignment horizontal="right" vertical="center" wrapText="1"/>
    </xf>
    <xf numFmtId="180" fontId="220" fillId="52" borderId="0" xfId="1005" applyNumberFormat="1" applyFont="1" applyFill="1" applyAlignment="1">
      <alignment vertical="center"/>
    </xf>
    <xf numFmtId="263" fontId="223" fillId="0" borderId="54" xfId="962" applyNumberFormat="1" applyFont="1" applyBorder="1" applyAlignment="1">
      <alignment horizontal="center" vertical="center" wrapText="1"/>
    </xf>
    <xf numFmtId="263" fontId="222" fillId="0" borderId="54" xfId="962" applyNumberFormat="1" applyFont="1" applyBorder="1" applyAlignment="1">
      <alignment vertical="center"/>
    </xf>
    <xf numFmtId="0" fontId="225" fillId="52" borderId="54" xfId="969" applyFont="1" applyFill="1" applyBorder="1" applyAlignment="1">
      <alignment horizontal="center" vertical="center"/>
    </xf>
    <xf numFmtId="3" fontId="225" fillId="52" borderId="54" xfId="586" applyNumberFormat="1" applyFont="1" applyFill="1" applyBorder="1" applyAlignment="1">
      <alignment horizontal="center" vertical="center"/>
    </xf>
    <xf numFmtId="3" fontId="225" fillId="52" borderId="54" xfId="586" applyNumberFormat="1" applyFont="1" applyFill="1" applyBorder="1" applyAlignment="1">
      <alignment vertical="center"/>
    </xf>
    <xf numFmtId="3" fontId="225" fillId="52" borderId="54" xfId="968" applyNumberFormat="1" applyFont="1" applyFill="1" applyBorder="1" applyAlignment="1">
      <alignment horizontal="center" vertical="center" wrapText="1"/>
    </xf>
    <xf numFmtId="3" fontId="225" fillId="52" borderId="54" xfId="968" applyNumberFormat="1" applyFont="1" applyFill="1" applyBorder="1" applyAlignment="1">
      <alignment horizontal="left" vertical="center" wrapText="1"/>
    </xf>
    <xf numFmtId="173" fontId="225" fillId="52" borderId="54" xfId="968" applyNumberFormat="1" applyFont="1" applyFill="1" applyBorder="1" applyAlignment="1">
      <alignment horizontal="center" vertical="center" wrapText="1"/>
    </xf>
    <xf numFmtId="173" fontId="225" fillId="52" borderId="54" xfId="994" applyNumberFormat="1" applyFont="1" applyFill="1" applyBorder="1" applyAlignment="1">
      <alignment vertical="center"/>
    </xf>
    <xf numFmtId="3" fontId="225" fillId="52" borderId="54" xfId="586" applyNumberFormat="1" applyFont="1" applyFill="1" applyBorder="1" applyAlignment="1">
      <alignment vertical="center" wrapText="1"/>
    </xf>
    <xf numFmtId="0" fontId="225" fillId="52" borderId="54" xfId="969" applyFont="1" applyFill="1" applyBorder="1" applyAlignment="1">
      <alignment vertical="center"/>
    </xf>
    <xf numFmtId="3" fontId="227" fillId="52" borderId="54" xfId="586" applyNumberFormat="1" applyFont="1" applyFill="1" applyBorder="1" applyAlignment="1">
      <alignment vertical="center"/>
    </xf>
    <xf numFmtId="3" fontId="227" fillId="52" borderId="54" xfId="586" applyNumberFormat="1" applyFont="1" applyFill="1" applyBorder="1" applyAlignment="1">
      <alignment vertical="center" wrapText="1"/>
    </xf>
    <xf numFmtId="173" fontId="225" fillId="52" borderId="54" xfId="8" applyNumberFormat="1" applyFont="1" applyFill="1" applyBorder="1" applyAlignment="1">
      <alignment horizontal="left" vertical="center" wrapText="1"/>
    </xf>
    <xf numFmtId="0" fontId="227" fillId="52" borderId="54" xfId="969" applyFont="1" applyFill="1" applyBorder="1" applyAlignment="1">
      <alignment horizontal="center" vertical="center"/>
    </xf>
    <xf numFmtId="0" fontId="227" fillId="52" borderId="54" xfId="969" quotePrefix="1" applyFont="1" applyFill="1" applyBorder="1" applyAlignment="1">
      <alignment vertical="center"/>
    </xf>
    <xf numFmtId="0" fontId="227" fillId="52" borderId="54" xfId="969" quotePrefix="1" applyFont="1" applyFill="1" applyBorder="1" applyAlignment="1">
      <alignment vertical="center" wrapText="1"/>
    </xf>
    <xf numFmtId="3" fontId="227" fillId="52" borderId="54" xfId="586" applyNumberFormat="1" applyFont="1" applyFill="1" applyBorder="1" applyAlignment="1">
      <alignment horizontal="center" vertical="center"/>
    </xf>
    <xf numFmtId="3" fontId="227" fillId="52" borderId="54" xfId="586" applyNumberFormat="1" applyFont="1" applyFill="1" applyBorder="1" applyAlignment="1">
      <alignment horizontal="justify" vertical="center"/>
    </xf>
    <xf numFmtId="3" fontId="227" fillId="52" borderId="54" xfId="968" applyNumberFormat="1" applyFont="1" applyFill="1" applyBorder="1" applyAlignment="1">
      <alignment horizontal="left" vertical="center" wrapText="1"/>
    </xf>
    <xf numFmtId="0" fontId="227" fillId="52" borderId="54" xfId="994" applyNumberFormat="1" applyFont="1" applyFill="1" applyBorder="1" applyAlignment="1">
      <alignment horizontal="left" vertical="center" wrapText="1"/>
    </xf>
    <xf numFmtId="3" fontId="227" fillId="52" borderId="54" xfId="586" applyNumberFormat="1" applyFont="1" applyFill="1" applyBorder="1" applyAlignment="1">
      <alignment horizontal="justify" vertical="center" wrapText="1"/>
    </xf>
    <xf numFmtId="263" fontId="223" fillId="0" borderId="54" xfId="962" applyNumberFormat="1" applyFont="1" applyBorder="1" applyAlignment="1">
      <alignment vertical="center" wrapText="1"/>
    </xf>
    <xf numFmtId="263" fontId="223" fillId="0" borderId="54" xfId="962" applyNumberFormat="1" applyFont="1" applyBorder="1" applyAlignment="1">
      <alignment vertical="center"/>
    </xf>
    <xf numFmtId="0" fontId="223" fillId="0" borderId="0" xfId="0" applyFont="1" applyAlignment="1">
      <alignment vertical="center"/>
    </xf>
    <xf numFmtId="0" fontId="223" fillId="0" borderId="54" xfId="0" applyFont="1" applyBorder="1" applyAlignment="1">
      <alignment vertical="center" wrapText="1"/>
    </xf>
    <xf numFmtId="0" fontId="223" fillId="0" borderId="0" xfId="0" applyFont="1" applyAlignment="1">
      <alignment vertical="center" wrapText="1"/>
    </xf>
    <xf numFmtId="263" fontId="224" fillId="0" borderId="54" xfId="962" applyNumberFormat="1" applyFont="1" applyBorder="1" applyAlignment="1">
      <alignment vertical="center"/>
    </xf>
    <xf numFmtId="0" fontId="224" fillId="0" borderId="0" xfId="0" applyFont="1" applyAlignment="1">
      <alignment vertical="center"/>
    </xf>
    <xf numFmtId="173" fontId="225" fillId="52" borderId="54" xfId="994" applyNumberFormat="1" applyFont="1" applyFill="1" applyBorder="1" applyAlignment="1">
      <alignment vertical="center" wrapText="1"/>
    </xf>
    <xf numFmtId="0" fontId="225" fillId="52" borderId="54" xfId="969" applyFont="1" applyFill="1" applyBorder="1" applyAlignment="1">
      <alignment vertical="center" wrapText="1"/>
    </xf>
    <xf numFmtId="0" fontId="222" fillId="0" borderId="0" xfId="0" applyFont="1" applyAlignment="1">
      <alignment vertical="center" wrapText="1"/>
    </xf>
    <xf numFmtId="0" fontId="239" fillId="0" borderId="54" xfId="0" applyFont="1" applyBorder="1" applyAlignment="1">
      <alignment horizontal="center" vertical="center" wrapText="1"/>
    </xf>
    <xf numFmtId="0" fontId="221" fillId="0" borderId="54" xfId="0" applyFont="1" applyBorder="1" applyAlignment="1">
      <alignment horizontal="left"/>
    </xf>
    <xf numFmtId="0" fontId="240" fillId="52" borderId="54" xfId="1003" applyFont="1" applyFill="1" applyBorder="1" applyAlignment="1">
      <alignment horizontal="left" vertical="center" wrapText="1"/>
    </xf>
    <xf numFmtId="180" fontId="221" fillId="0" borderId="54" xfId="0" applyNumberFormat="1" applyFont="1" applyBorder="1" applyAlignment="1">
      <alignment horizontal="right"/>
    </xf>
    <xf numFmtId="180" fontId="240" fillId="52" borderId="54" xfId="962" applyNumberFormat="1" applyFont="1" applyFill="1" applyBorder="1" applyAlignment="1">
      <alignment horizontal="right" vertical="center" wrapText="1"/>
    </xf>
    <xf numFmtId="180" fontId="221" fillId="0" borderId="54" xfId="0" applyNumberFormat="1" applyFont="1" applyBorder="1" applyAlignment="1">
      <alignment horizontal="left"/>
    </xf>
    <xf numFmtId="0" fontId="240" fillId="52" borderId="54" xfId="584" applyFont="1" applyFill="1" applyBorder="1" applyAlignment="1">
      <alignment horizontal="left" vertical="center" wrapText="1"/>
    </xf>
    <xf numFmtId="180" fontId="239" fillId="0" borderId="54" xfId="0" applyNumberFormat="1" applyFont="1" applyBorder="1" applyAlignment="1">
      <alignment horizontal="right"/>
    </xf>
    <xf numFmtId="3" fontId="180" fillId="52" borderId="0" xfId="0" applyNumberFormat="1" applyFont="1" applyFill="1" applyAlignment="1">
      <alignment horizontal="right" vertical="center"/>
    </xf>
    <xf numFmtId="3" fontId="42" fillId="52" borderId="0" xfId="0" applyNumberFormat="1" applyFont="1" applyFill="1" applyAlignment="1">
      <alignment horizontal="right" vertical="center"/>
    </xf>
    <xf numFmtId="3" fontId="181" fillId="52" borderId="1" xfId="3" applyNumberFormat="1" applyFont="1" applyFill="1" applyBorder="1" applyAlignment="1">
      <alignment horizontal="right" vertical="center" wrapText="1"/>
    </xf>
    <xf numFmtId="3" fontId="196" fillId="52" borderId="1" xfId="3" applyNumberFormat="1" applyFont="1" applyFill="1" applyBorder="1" applyAlignment="1">
      <alignment horizontal="right" vertical="center" wrapText="1"/>
    </xf>
    <xf numFmtId="3" fontId="196" fillId="52" borderId="6" xfId="3" applyNumberFormat="1" applyFont="1" applyFill="1" applyBorder="1" applyAlignment="1">
      <alignment horizontal="right" vertical="center" wrapText="1"/>
    </xf>
    <xf numFmtId="3" fontId="196" fillId="52" borderId="11" xfId="3" applyNumberFormat="1" applyFont="1" applyFill="1" applyBorder="1" applyAlignment="1">
      <alignment horizontal="right" vertical="center" wrapText="1"/>
    </xf>
    <xf numFmtId="3" fontId="181" fillId="52" borderId="1" xfId="0" applyNumberFormat="1" applyFont="1" applyFill="1" applyBorder="1" applyAlignment="1">
      <alignment horizontal="right" vertical="center"/>
    </xf>
    <xf numFmtId="3" fontId="181" fillId="52" borderId="9" xfId="4" applyNumberFormat="1" applyFont="1" applyFill="1" applyBorder="1" applyAlignment="1">
      <alignment horizontal="right" vertical="center" wrapText="1"/>
    </xf>
    <xf numFmtId="3" fontId="181" fillId="52" borderId="1" xfId="4" applyNumberFormat="1" applyFont="1" applyFill="1" applyBorder="1" applyAlignment="1">
      <alignment horizontal="right" vertical="center" wrapText="1"/>
    </xf>
    <xf numFmtId="3" fontId="187" fillId="52" borderId="1" xfId="3" applyNumberFormat="1" applyFont="1" applyFill="1" applyBorder="1" applyAlignment="1">
      <alignment horizontal="right" vertical="center" wrapText="1"/>
    </xf>
    <xf numFmtId="3" fontId="202" fillId="52" borderId="1" xfId="3" applyNumberFormat="1" applyFont="1" applyFill="1" applyBorder="1" applyAlignment="1">
      <alignment horizontal="right" vertical="center" wrapText="1"/>
    </xf>
    <xf numFmtId="3" fontId="187" fillId="52" borderId="1" xfId="0" applyNumberFormat="1" applyFont="1" applyFill="1" applyBorder="1" applyAlignment="1">
      <alignment horizontal="right" vertical="center"/>
    </xf>
    <xf numFmtId="3" fontId="187" fillId="52" borderId="9" xfId="4" applyNumberFormat="1" applyFont="1" applyFill="1" applyBorder="1" applyAlignment="1">
      <alignment horizontal="right" vertical="center" wrapText="1"/>
    </xf>
    <xf numFmtId="3" fontId="187" fillId="52" borderId="1" xfId="4" applyNumberFormat="1" applyFont="1" applyFill="1" applyBorder="1" applyAlignment="1">
      <alignment horizontal="right" vertical="center" wrapText="1"/>
    </xf>
    <xf numFmtId="3" fontId="192" fillId="52" borderId="0" xfId="3" applyNumberFormat="1" applyFont="1" applyFill="1" applyBorder="1" applyAlignment="1" applyProtection="1">
      <alignment horizontal="right" vertical="center" wrapText="1"/>
    </xf>
    <xf numFmtId="3" fontId="175" fillId="0" borderId="0" xfId="0" applyNumberFormat="1" applyFont="1" applyFill="1" applyBorder="1" applyAlignment="1">
      <alignment horizontal="right" vertical="center"/>
    </xf>
    <xf numFmtId="3" fontId="183" fillId="0" borderId="0" xfId="0" applyNumberFormat="1" applyFont="1" applyFill="1" applyBorder="1" applyAlignment="1">
      <alignment horizontal="right" vertical="center"/>
    </xf>
    <xf numFmtId="3" fontId="205" fillId="0" borderId="0" xfId="0" applyNumberFormat="1" applyFont="1" applyFill="1" applyBorder="1" applyAlignment="1">
      <alignment horizontal="right" vertical="center"/>
    </xf>
    <xf numFmtId="3" fontId="194" fillId="52" borderId="57" xfId="2" applyNumberFormat="1" applyFont="1" applyFill="1" applyBorder="1" applyAlignment="1">
      <alignment horizontal="center" vertical="center" wrapText="1"/>
    </xf>
    <xf numFmtId="3" fontId="175" fillId="52" borderId="56" xfId="2" applyNumberFormat="1" applyFont="1" applyFill="1" applyBorder="1" applyAlignment="1">
      <alignment horizontal="center" vertical="center" wrapText="1"/>
    </xf>
    <xf numFmtId="3" fontId="188" fillId="52" borderId="56" xfId="2" applyNumberFormat="1" applyFont="1" applyFill="1" applyBorder="1" applyAlignment="1">
      <alignment horizontal="left" vertical="center" wrapText="1"/>
    </xf>
    <xf numFmtId="3" fontId="180" fillId="52" borderId="56" xfId="2" applyNumberFormat="1" applyFont="1" applyFill="1" applyBorder="1" applyAlignment="1">
      <alignment horizontal="left" vertical="center" wrapText="1"/>
    </xf>
    <xf numFmtId="3" fontId="215" fillId="52" borderId="56" xfId="2" applyNumberFormat="1" applyFont="1" applyFill="1" applyBorder="1" applyAlignment="1">
      <alignment horizontal="left" vertical="center" wrapText="1"/>
    </xf>
    <xf numFmtId="3" fontId="184" fillId="52" borderId="56" xfId="2" applyNumberFormat="1" applyFont="1" applyFill="1" applyBorder="1" applyAlignment="1">
      <alignment horizontal="left" vertical="center" wrapText="1"/>
    </xf>
    <xf numFmtId="0" fontId="180" fillId="52" borderId="56" xfId="968" applyFont="1" applyFill="1" applyBorder="1" applyAlignment="1">
      <alignment vertical="center" wrapText="1"/>
    </xf>
    <xf numFmtId="0" fontId="180" fillId="52" borderId="56" xfId="0" applyFont="1" applyFill="1" applyBorder="1" applyAlignment="1">
      <alignment vertical="center" wrapText="1"/>
    </xf>
    <xf numFmtId="0" fontId="215" fillId="52" borderId="56" xfId="0" applyFont="1" applyFill="1" applyBorder="1" applyAlignment="1">
      <alignment vertical="center" wrapText="1"/>
    </xf>
    <xf numFmtId="3" fontId="175" fillId="52" borderId="56" xfId="2" applyNumberFormat="1" applyFont="1" applyFill="1" applyBorder="1" applyAlignment="1">
      <alignment horizontal="justify" vertical="center" wrapText="1"/>
    </xf>
    <xf numFmtId="3" fontId="188" fillId="52" borderId="56" xfId="0" applyNumberFormat="1" applyFont="1" applyFill="1" applyBorder="1" applyAlignment="1">
      <alignment horizontal="justify" vertical="center"/>
    </xf>
    <xf numFmtId="3" fontId="215" fillId="52" borderId="56" xfId="0" applyNumberFormat="1" applyFont="1" applyFill="1" applyBorder="1" applyAlignment="1">
      <alignment horizontal="left" vertical="center" wrapText="1"/>
    </xf>
    <xf numFmtId="0" fontId="180" fillId="52" borderId="56" xfId="992" applyNumberFormat="1" applyFont="1" applyFill="1" applyBorder="1" applyAlignment="1">
      <alignment horizontal="left" vertical="center" wrapText="1"/>
    </xf>
    <xf numFmtId="0" fontId="215" fillId="52" borderId="56" xfId="992" applyNumberFormat="1" applyFont="1" applyFill="1" applyBorder="1" applyAlignment="1">
      <alignment horizontal="left" vertical="center" wrapText="1"/>
    </xf>
    <xf numFmtId="0" fontId="180" fillId="52" borderId="56" xfId="993" applyNumberFormat="1" applyFont="1" applyFill="1" applyBorder="1" applyAlignment="1">
      <alignment horizontal="left" vertical="center" wrapText="1"/>
    </xf>
    <xf numFmtId="0" fontId="184" fillId="52" borderId="56" xfId="993" applyNumberFormat="1" applyFont="1" applyFill="1" applyBorder="1" applyAlignment="1">
      <alignment horizontal="left" vertical="center" wrapText="1"/>
    </xf>
    <xf numFmtId="0" fontId="180" fillId="52" borderId="56" xfId="992" applyNumberFormat="1" applyFont="1" applyFill="1" applyBorder="1" applyAlignment="1">
      <alignment horizontal="justify" vertical="center" wrapText="1"/>
    </xf>
    <xf numFmtId="0" fontId="180" fillId="52" borderId="56" xfId="0" applyNumberFormat="1" applyFont="1" applyFill="1" applyBorder="1" applyAlignment="1">
      <alignment wrapText="1"/>
    </xf>
    <xf numFmtId="0" fontId="180" fillId="52" borderId="56" xfId="994" applyNumberFormat="1" applyFont="1" applyFill="1" applyBorder="1" applyAlignment="1">
      <alignment horizontal="left" vertical="center" wrapText="1"/>
    </xf>
    <xf numFmtId="0" fontId="215" fillId="52" borderId="56" xfId="995" applyNumberFormat="1" applyFont="1" applyFill="1" applyBorder="1" applyAlignment="1">
      <alignment horizontal="left" vertical="center" wrapText="1"/>
    </xf>
    <xf numFmtId="0" fontId="180" fillId="52" borderId="56" xfId="995" applyNumberFormat="1" applyFont="1" applyFill="1" applyBorder="1" applyAlignment="1">
      <alignment horizontal="left" vertical="center" wrapText="1"/>
    </xf>
    <xf numFmtId="258" fontId="180" fillId="52" borderId="56" xfId="0" applyNumberFormat="1" applyFont="1" applyFill="1" applyBorder="1" applyAlignment="1">
      <alignment horizontal="left" vertical="center" wrapText="1"/>
    </xf>
    <xf numFmtId="258" fontId="180" fillId="52" borderId="56" xfId="0" applyNumberFormat="1" applyFont="1" applyFill="1" applyBorder="1" applyAlignment="1">
      <alignment horizontal="left"/>
    </xf>
    <xf numFmtId="258" fontId="215" fillId="52" borderId="56" xfId="0" applyNumberFormat="1" applyFont="1" applyFill="1" applyBorder="1" applyAlignment="1">
      <alignment horizontal="left" vertical="center" wrapText="1"/>
    </xf>
    <xf numFmtId="0" fontId="215" fillId="52" borderId="56" xfId="0" applyNumberFormat="1" applyFont="1" applyFill="1" applyBorder="1" applyAlignment="1">
      <alignment wrapText="1"/>
    </xf>
    <xf numFmtId="0" fontId="184" fillId="52" borderId="56" xfId="995" applyNumberFormat="1" applyFont="1" applyFill="1" applyBorder="1" applyAlignment="1">
      <alignment horizontal="left" vertical="center" wrapText="1"/>
    </xf>
    <xf numFmtId="3" fontId="188" fillId="0" borderId="56" xfId="0" applyNumberFormat="1" applyFont="1" applyFill="1" applyBorder="1" applyAlignment="1">
      <alignment horizontal="justify" vertical="center"/>
    </xf>
    <xf numFmtId="0" fontId="215" fillId="0" borderId="56" xfId="0" applyNumberFormat="1" applyFont="1" applyFill="1" applyBorder="1" applyAlignment="1">
      <alignment horizontal="left" vertical="center" wrapText="1"/>
    </xf>
    <xf numFmtId="0" fontId="184" fillId="0" borderId="56" xfId="0" applyNumberFormat="1" applyFont="1" applyFill="1" applyBorder="1" applyAlignment="1">
      <alignment horizontal="left" vertical="center" wrapText="1"/>
    </xf>
    <xf numFmtId="0" fontId="184" fillId="0" borderId="56" xfId="994" applyNumberFormat="1" applyFont="1" applyFill="1" applyBorder="1" applyAlignment="1">
      <alignment horizontal="left" vertical="center" wrapText="1"/>
    </xf>
    <xf numFmtId="0" fontId="215" fillId="52" borderId="56" xfId="994" applyNumberFormat="1" applyFont="1" applyFill="1" applyBorder="1" applyAlignment="1">
      <alignment horizontal="left" vertical="center" wrapText="1"/>
    </xf>
    <xf numFmtId="0" fontId="184" fillId="52" borderId="56" xfId="994" applyNumberFormat="1" applyFont="1" applyFill="1" applyBorder="1" applyAlignment="1">
      <alignment horizontal="left" vertical="center" wrapText="1"/>
    </xf>
    <xf numFmtId="0" fontId="215" fillId="52" borderId="56" xfId="994" applyNumberFormat="1" applyFont="1" applyFill="1" applyBorder="1" applyAlignment="1">
      <alignment vertical="center" wrapText="1"/>
    </xf>
    <xf numFmtId="0" fontId="184" fillId="52" borderId="56" xfId="994" applyNumberFormat="1" applyFont="1" applyFill="1" applyBorder="1" applyAlignment="1">
      <alignment vertical="center"/>
    </xf>
    <xf numFmtId="0" fontId="215" fillId="52" borderId="56" xfId="994" applyNumberFormat="1" applyFont="1" applyFill="1" applyBorder="1" applyAlignment="1">
      <alignment vertical="center"/>
    </xf>
    <xf numFmtId="0" fontId="184" fillId="52" borderId="56" xfId="994" applyNumberFormat="1" applyFont="1" applyFill="1" applyBorder="1" applyAlignment="1">
      <alignment vertical="center" wrapText="1"/>
    </xf>
    <xf numFmtId="0" fontId="215" fillId="52" borderId="56" xfId="994" applyNumberFormat="1" applyFont="1" applyFill="1" applyBorder="1" applyAlignment="1">
      <alignment horizontal="center" vertical="center" wrapText="1"/>
    </xf>
    <xf numFmtId="0" fontId="184" fillId="52" borderId="56" xfId="994" applyNumberFormat="1" applyFont="1" applyFill="1" applyBorder="1" applyAlignment="1">
      <alignment horizontal="center" vertical="center" wrapText="1"/>
    </xf>
    <xf numFmtId="173" fontId="180" fillId="52" borderId="56" xfId="998" applyNumberFormat="1" applyFont="1" applyFill="1" applyBorder="1" applyAlignment="1">
      <alignment vertical="center" wrapText="1"/>
    </xf>
    <xf numFmtId="0" fontId="184" fillId="2" borderId="56" xfId="994" applyNumberFormat="1" applyFont="1" applyFill="1" applyBorder="1" applyAlignment="1">
      <alignment vertical="center" wrapText="1"/>
    </xf>
    <xf numFmtId="0" fontId="180" fillId="2" borderId="56" xfId="994" applyNumberFormat="1" applyFont="1" applyFill="1" applyBorder="1" applyAlignment="1">
      <alignment horizontal="left" vertical="center" wrapText="1"/>
    </xf>
    <xf numFmtId="3" fontId="178" fillId="52" borderId="56" xfId="2" applyNumberFormat="1" applyFont="1" applyFill="1" applyBorder="1" applyAlignment="1">
      <alignment horizontal="left" vertical="center" wrapText="1"/>
    </xf>
    <xf numFmtId="3" fontId="188" fillId="52" borderId="56" xfId="0" applyNumberFormat="1" applyFont="1" applyFill="1" applyBorder="1" applyAlignment="1">
      <alignment horizontal="justify" vertical="center" wrapText="1"/>
    </xf>
    <xf numFmtId="0" fontId="215" fillId="52" borderId="56" xfId="0" applyNumberFormat="1" applyFont="1" applyFill="1" applyBorder="1" applyAlignment="1">
      <alignment horizontal="left" vertical="center" wrapText="1"/>
    </xf>
    <xf numFmtId="0" fontId="180" fillId="52" borderId="56" xfId="0" applyNumberFormat="1" applyFont="1" applyFill="1" applyBorder="1" applyAlignment="1">
      <alignment horizontal="left" vertical="center" wrapText="1"/>
    </xf>
    <xf numFmtId="0" fontId="215" fillId="2" borderId="56" xfId="0" applyNumberFormat="1" applyFont="1" applyFill="1" applyBorder="1" applyAlignment="1">
      <alignment horizontal="left" vertical="center" wrapText="1"/>
    </xf>
    <xf numFmtId="0" fontId="180" fillId="52" borderId="56" xfId="994" applyNumberFormat="1" applyFont="1" applyFill="1" applyBorder="1" applyAlignment="1">
      <alignment horizontal="justify" vertical="center" wrapText="1"/>
    </xf>
    <xf numFmtId="0" fontId="181" fillId="52" borderId="56" xfId="994" applyNumberFormat="1" applyFont="1" applyFill="1" applyBorder="1" applyAlignment="1">
      <alignment horizontal="justify" vertical="center" wrapText="1"/>
    </xf>
    <xf numFmtId="258" fontId="180" fillId="52" borderId="56" xfId="0" applyNumberFormat="1" applyFont="1" applyFill="1" applyBorder="1"/>
    <xf numFmtId="258" fontId="180" fillId="52" borderId="56" xfId="0" applyNumberFormat="1" applyFont="1" applyFill="1" applyBorder="1" applyAlignment="1">
      <alignment wrapText="1"/>
    </xf>
    <xf numFmtId="3" fontId="188" fillId="52" borderId="56" xfId="2" applyNumberFormat="1" applyFont="1" applyFill="1" applyBorder="1" applyAlignment="1">
      <alignment horizontal="justify" vertical="center" wrapText="1"/>
    </xf>
    <xf numFmtId="0" fontId="180" fillId="52" borderId="67" xfId="0" applyFont="1" applyFill="1" applyBorder="1" applyAlignment="1">
      <alignment horizontal="left" vertical="center" wrapText="1"/>
    </xf>
    <xf numFmtId="258" fontId="215" fillId="52" borderId="56" xfId="0" applyNumberFormat="1" applyFont="1" applyFill="1" applyBorder="1" applyAlignment="1">
      <alignment horizontal="left" vertical="center"/>
    </xf>
    <xf numFmtId="173" fontId="215" fillId="52" borderId="56" xfId="586" applyNumberFormat="1" applyFont="1" applyFill="1" applyBorder="1" applyAlignment="1">
      <alignment horizontal="justify" vertical="center" wrapText="1"/>
    </xf>
    <xf numFmtId="173" fontId="215" fillId="52" borderId="56" xfId="998" applyNumberFormat="1" applyFont="1" applyFill="1" applyBorder="1" applyAlignment="1">
      <alignment horizontal="left" vertical="center" wrapText="1"/>
    </xf>
    <xf numFmtId="173" fontId="215" fillId="52" borderId="68" xfId="998" applyNumberFormat="1" applyFont="1" applyFill="1" applyBorder="1" applyAlignment="1">
      <alignment horizontal="left" vertical="center" wrapText="1"/>
    </xf>
    <xf numFmtId="3" fontId="180" fillId="52" borderId="56" xfId="0" applyNumberFormat="1" applyFont="1" applyFill="1" applyBorder="1" applyAlignment="1">
      <alignment horizontal="justify" vertical="center" wrapText="1"/>
    </xf>
    <xf numFmtId="3" fontId="184" fillId="52" borderId="56" xfId="0" applyNumberFormat="1" applyFont="1" applyFill="1" applyBorder="1" applyAlignment="1">
      <alignment vertical="center" wrapText="1"/>
    </xf>
    <xf numFmtId="3" fontId="184" fillId="52" borderId="56" xfId="0" applyNumberFormat="1" applyFont="1" applyFill="1" applyBorder="1" applyAlignment="1">
      <alignment horizontal="center" vertical="center" wrapText="1"/>
    </xf>
    <xf numFmtId="173" fontId="175" fillId="52" borderId="56" xfId="994" applyNumberFormat="1" applyFont="1" applyFill="1" applyBorder="1" applyAlignment="1">
      <alignment vertical="center" wrapText="1"/>
    </xf>
    <xf numFmtId="0" fontId="180" fillId="52" borderId="56" xfId="0" applyNumberFormat="1" applyFont="1" applyFill="1" applyBorder="1" applyAlignment="1">
      <alignment vertical="center" wrapText="1"/>
    </xf>
    <xf numFmtId="0" fontId="215" fillId="52" borderId="56" xfId="0" applyNumberFormat="1" applyFont="1" applyFill="1" applyBorder="1" applyAlignment="1">
      <alignment vertical="center" wrapText="1"/>
    </xf>
    <xf numFmtId="173" fontId="180" fillId="52" borderId="56" xfId="8" applyNumberFormat="1" applyFont="1" applyFill="1" applyBorder="1" applyAlignment="1">
      <alignment horizontal="left" vertical="center" wrapText="1"/>
    </xf>
    <xf numFmtId="173" fontId="215" fillId="52" borderId="56" xfId="994" applyNumberFormat="1" applyFont="1" applyFill="1" applyBorder="1" applyAlignment="1">
      <alignment vertical="center" wrapText="1"/>
    </xf>
    <xf numFmtId="173" fontId="180" fillId="52" borderId="56" xfId="994" applyNumberFormat="1" applyFont="1" applyFill="1" applyBorder="1" applyAlignment="1">
      <alignment horizontal="justify" vertical="center" wrapText="1"/>
    </xf>
    <xf numFmtId="173" fontId="215" fillId="52" borderId="56" xfId="994" applyNumberFormat="1" applyFont="1" applyFill="1" applyBorder="1" applyAlignment="1">
      <alignment horizontal="justify" vertical="center" wrapText="1"/>
    </xf>
    <xf numFmtId="258" fontId="180" fillId="52" borderId="56" xfId="0" applyNumberFormat="1" applyFont="1" applyFill="1" applyBorder="1" applyAlignment="1">
      <alignment horizontal="center" wrapText="1"/>
    </xf>
    <xf numFmtId="258" fontId="215" fillId="52" borderId="56" xfId="0" applyNumberFormat="1" applyFont="1" applyFill="1" applyBorder="1" applyAlignment="1">
      <alignment horizontal="center" wrapText="1"/>
    </xf>
    <xf numFmtId="0" fontId="184" fillId="52" borderId="56" xfId="0" applyNumberFormat="1" applyFont="1" applyFill="1" applyBorder="1" applyAlignment="1">
      <alignment vertical="center" wrapText="1"/>
    </xf>
    <xf numFmtId="0" fontId="184" fillId="52" borderId="56" xfId="0" applyNumberFormat="1" applyFont="1" applyFill="1" applyBorder="1" applyAlignment="1">
      <alignment vertical="center"/>
    </xf>
    <xf numFmtId="0" fontId="184" fillId="52" borderId="56" xfId="0" applyNumberFormat="1" applyFont="1" applyFill="1" applyBorder="1" applyAlignment="1">
      <alignment horizontal="left" vertical="center" wrapText="1"/>
    </xf>
    <xf numFmtId="258" fontId="184" fillId="52" borderId="56" xfId="0" applyNumberFormat="1" applyFont="1" applyFill="1" applyBorder="1" applyAlignment="1">
      <alignment horizontal="left" vertical="center" wrapText="1"/>
    </xf>
    <xf numFmtId="3" fontId="215" fillId="2" borderId="56" xfId="2" applyNumberFormat="1" applyFont="1" applyFill="1" applyBorder="1" applyAlignment="1">
      <alignment horizontal="left" vertical="center" wrapText="1"/>
    </xf>
    <xf numFmtId="3" fontId="176" fillId="52" borderId="56" xfId="2" applyNumberFormat="1" applyFont="1" applyFill="1" applyBorder="1" applyAlignment="1">
      <alignment horizontal="justify" vertical="center" wrapText="1"/>
    </xf>
    <xf numFmtId="173" fontId="181" fillId="2" borderId="56" xfId="586" applyNumberFormat="1" applyFont="1" applyFill="1" applyBorder="1" applyAlignment="1">
      <alignment horizontal="justify" vertical="center"/>
    </xf>
    <xf numFmtId="173" fontId="181" fillId="55" borderId="56" xfId="586" applyNumberFormat="1" applyFont="1" applyFill="1" applyBorder="1" applyAlignment="1">
      <alignment horizontal="left" vertical="center" wrapText="1"/>
    </xf>
    <xf numFmtId="261" fontId="180" fillId="2" borderId="56" xfId="586" applyNumberFormat="1" applyFont="1" applyFill="1" applyBorder="1" applyAlignment="1">
      <alignment horizontal="left" vertical="center" wrapText="1"/>
    </xf>
    <xf numFmtId="261" fontId="180" fillId="52" borderId="56" xfId="586" applyNumberFormat="1" applyFont="1" applyFill="1" applyBorder="1" applyAlignment="1">
      <alignment horizontal="left" vertical="center" wrapText="1"/>
    </xf>
    <xf numFmtId="173" fontId="180" fillId="52" borderId="56" xfId="586" applyNumberFormat="1" applyFont="1" applyFill="1" applyBorder="1" applyAlignment="1">
      <alignment horizontal="left" vertical="center" wrapText="1"/>
    </xf>
    <xf numFmtId="173" fontId="180" fillId="0" borderId="69" xfId="586" applyNumberFormat="1" applyFont="1" applyFill="1" applyBorder="1" applyAlignment="1">
      <alignment horizontal="left" vertical="center" wrapText="1"/>
    </xf>
    <xf numFmtId="173" fontId="199" fillId="52" borderId="56" xfId="968" applyNumberFormat="1" applyFont="1" applyFill="1" applyBorder="1" applyAlignment="1">
      <alignment horizontal="left" vertical="center" wrapText="1"/>
    </xf>
    <xf numFmtId="173" fontId="215" fillId="52" borderId="56" xfId="968" applyNumberFormat="1" applyFont="1" applyFill="1" applyBorder="1" applyAlignment="1">
      <alignment horizontal="left" vertical="center" wrapText="1"/>
    </xf>
    <xf numFmtId="173" fontId="180" fillId="52" borderId="56" xfId="968" applyNumberFormat="1" applyFont="1" applyFill="1" applyBorder="1" applyAlignment="1">
      <alignment horizontal="left" vertical="center" wrapText="1"/>
    </xf>
    <xf numFmtId="173" fontId="192" fillId="55" borderId="56" xfId="968" applyNumberFormat="1" applyFont="1" applyFill="1" applyBorder="1" applyAlignment="1">
      <alignment horizontal="left" vertical="center" wrapText="1"/>
    </xf>
    <xf numFmtId="173" fontId="187" fillId="52" borderId="56" xfId="968" applyNumberFormat="1" applyFont="1" applyFill="1" applyBorder="1" applyAlignment="1">
      <alignment horizontal="left" vertical="center" wrapText="1"/>
    </xf>
    <xf numFmtId="173" fontId="199" fillId="55" borderId="56" xfId="968" applyNumberFormat="1" applyFont="1" applyFill="1" applyBorder="1" applyAlignment="1">
      <alignment horizontal="left" vertical="center" wrapText="1"/>
    </xf>
    <xf numFmtId="173" fontId="187" fillId="52" borderId="56" xfId="998" applyNumberFormat="1" applyFont="1" applyFill="1" applyBorder="1" applyAlignment="1">
      <alignment horizontal="left" vertical="center" wrapText="1"/>
    </xf>
    <xf numFmtId="173" fontId="180" fillId="52" borderId="56" xfId="968" applyNumberFormat="1" applyFont="1" applyFill="1" applyBorder="1" applyAlignment="1">
      <alignment vertical="center" wrapText="1"/>
    </xf>
    <xf numFmtId="3" fontId="175" fillId="52" borderId="56" xfId="0" applyNumberFormat="1" applyFont="1" applyFill="1" applyBorder="1" applyAlignment="1">
      <alignment horizontal="justify" vertical="center"/>
    </xf>
    <xf numFmtId="173" fontId="187" fillId="0" borderId="56" xfId="968" applyNumberFormat="1" applyFont="1" applyFill="1" applyBorder="1" applyAlignment="1">
      <alignment horizontal="left" vertical="center" wrapText="1"/>
    </xf>
    <xf numFmtId="173" fontId="217" fillId="0" borderId="56" xfId="968" applyNumberFormat="1" applyFont="1" applyFill="1" applyBorder="1" applyAlignment="1">
      <alignment horizontal="left" vertical="center" wrapText="1"/>
    </xf>
    <xf numFmtId="3" fontId="180" fillId="0" borderId="56" xfId="2" applyNumberFormat="1" applyFont="1" applyFill="1" applyBorder="1" applyAlignment="1">
      <alignment horizontal="left" vertical="center" wrapText="1"/>
    </xf>
    <xf numFmtId="0" fontId="180" fillId="52" borderId="56" xfId="994" applyNumberFormat="1" applyFont="1" applyFill="1" applyBorder="1" applyAlignment="1">
      <alignment horizontal="center" vertical="center" wrapText="1"/>
    </xf>
    <xf numFmtId="3" fontId="184" fillId="52" borderId="56" xfId="0" applyNumberFormat="1" applyFont="1" applyFill="1" applyBorder="1" applyAlignment="1">
      <alignment vertical="center"/>
    </xf>
    <xf numFmtId="3" fontId="215" fillId="52" borderId="56" xfId="0" applyNumberFormat="1" applyFont="1" applyFill="1" applyBorder="1" applyAlignment="1">
      <alignment vertical="center" wrapText="1"/>
    </xf>
    <xf numFmtId="0" fontId="179" fillId="52" borderId="56" xfId="968" applyNumberFormat="1" applyFont="1" applyFill="1" applyBorder="1" applyAlignment="1">
      <alignment horizontal="left" vertical="center" wrapText="1"/>
    </xf>
    <xf numFmtId="0" fontId="215" fillId="52" borderId="56" xfId="968" applyNumberFormat="1" applyFont="1" applyFill="1" applyBorder="1" applyAlignment="1">
      <alignment horizontal="left" vertical="center" wrapText="1"/>
    </xf>
    <xf numFmtId="0" fontId="184" fillId="52" borderId="56" xfId="994" applyNumberFormat="1" applyFont="1" applyFill="1" applyBorder="1" applyAlignment="1">
      <alignment horizontal="justify" vertical="center" wrapText="1"/>
    </xf>
    <xf numFmtId="0" fontId="215" fillId="52" borderId="56" xfId="994" applyNumberFormat="1" applyFont="1" applyFill="1" applyBorder="1" applyAlignment="1">
      <alignment horizontal="justify" vertical="center" wrapText="1"/>
    </xf>
    <xf numFmtId="0" fontId="184" fillId="52" borderId="56" xfId="0" applyFont="1" applyFill="1" applyBorder="1" applyAlignment="1">
      <alignment vertical="center" wrapText="1"/>
    </xf>
    <xf numFmtId="0" fontId="193" fillId="52" borderId="56" xfId="968" applyNumberFormat="1" applyFont="1" applyFill="1" applyBorder="1" applyAlignment="1">
      <alignment horizontal="left" vertical="center" wrapText="1"/>
    </xf>
    <xf numFmtId="0" fontId="184" fillId="52" borderId="56" xfId="969" applyNumberFormat="1" applyFont="1" applyFill="1" applyBorder="1" applyAlignment="1">
      <alignment horizontal="left" vertical="center" wrapText="1"/>
    </xf>
    <xf numFmtId="0" fontId="179" fillId="52" borderId="56" xfId="994" applyNumberFormat="1" applyFont="1" applyFill="1" applyBorder="1" applyAlignment="1">
      <alignment horizontal="left" vertical="center" wrapText="1"/>
    </xf>
    <xf numFmtId="0" fontId="184" fillId="52" borderId="56" xfId="994" quotePrefix="1" applyNumberFormat="1" applyFont="1" applyFill="1" applyBorder="1" applyAlignment="1">
      <alignment vertical="center" wrapText="1"/>
    </xf>
    <xf numFmtId="0" fontId="180" fillId="52" borderId="56" xfId="969" applyNumberFormat="1" applyFont="1" applyFill="1" applyBorder="1" applyAlignment="1">
      <alignment horizontal="left" vertical="center" wrapText="1"/>
    </xf>
    <xf numFmtId="0" fontId="215" fillId="52" borderId="56" xfId="969" applyNumberFormat="1" applyFont="1" applyFill="1" applyBorder="1" applyAlignment="1">
      <alignment horizontal="left" vertical="center" wrapText="1"/>
    </xf>
    <xf numFmtId="0" fontId="188" fillId="2" borderId="56" xfId="969" applyNumberFormat="1" applyFont="1" applyFill="1" applyBorder="1" applyAlignment="1">
      <alignment horizontal="left" vertical="center" wrapText="1"/>
    </xf>
    <xf numFmtId="3" fontId="215" fillId="0" borderId="56" xfId="2" applyNumberFormat="1" applyFont="1" applyFill="1" applyBorder="1" applyAlignment="1">
      <alignment horizontal="justify" vertical="center" wrapText="1"/>
    </xf>
    <xf numFmtId="3" fontId="180" fillId="0" borderId="56" xfId="2" applyNumberFormat="1" applyFont="1" applyFill="1" applyBorder="1" applyAlignment="1">
      <alignment horizontal="justify" vertical="center" wrapText="1"/>
    </xf>
    <xf numFmtId="0" fontId="197" fillId="0" borderId="56" xfId="0" applyFont="1" applyFill="1" applyBorder="1" applyAlignment="1">
      <alignment vertical="center" wrapText="1"/>
    </xf>
    <xf numFmtId="173" fontId="180" fillId="0" borderId="56" xfId="998" applyNumberFormat="1" applyFont="1" applyFill="1" applyBorder="1" applyAlignment="1">
      <alignment horizontal="left" vertical="center" wrapText="1"/>
    </xf>
    <xf numFmtId="173" fontId="180" fillId="0" borderId="56" xfId="968" applyNumberFormat="1" applyFont="1" applyFill="1" applyBorder="1" applyAlignment="1">
      <alignment horizontal="left" vertical="center" wrapText="1"/>
    </xf>
    <xf numFmtId="3" fontId="184" fillId="0" borderId="56" xfId="2" applyNumberFormat="1" applyFont="1" applyFill="1" applyBorder="1" applyAlignment="1">
      <alignment horizontal="left" vertical="center" wrapText="1"/>
    </xf>
    <xf numFmtId="3" fontId="180" fillId="52" borderId="56" xfId="2" applyNumberFormat="1" applyFont="1" applyFill="1" applyBorder="1" applyAlignment="1">
      <alignment horizontal="justify" vertical="center" wrapText="1"/>
    </xf>
    <xf numFmtId="0" fontId="215" fillId="52" borderId="56" xfId="968" applyFont="1" applyFill="1" applyBorder="1" applyAlignment="1">
      <alignment wrapText="1"/>
    </xf>
    <xf numFmtId="180" fontId="215" fillId="52" borderId="70" xfId="996" applyNumberFormat="1" applyFont="1" applyFill="1" applyBorder="1" applyAlignment="1">
      <alignment vertical="center" wrapText="1"/>
    </xf>
    <xf numFmtId="180" fontId="180" fillId="52" borderId="56" xfId="996" applyNumberFormat="1" applyFont="1" applyFill="1" applyBorder="1" applyAlignment="1">
      <alignment vertical="center" wrapText="1"/>
    </xf>
    <xf numFmtId="0" fontId="180" fillId="52" borderId="56" xfId="0" applyFont="1" applyFill="1" applyBorder="1"/>
    <xf numFmtId="180" fontId="180" fillId="52" borderId="56" xfId="996" applyNumberFormat="1" applyFont="1" applyFill="1" applyBorder="1" applyAlignment="1">
      <alignment horizontal="left" vertical="center" wrapText="1"/>
    </xf>
    <xf numFmtId="180" fontId="180" fillId="52" borderId="71" xfId="996" applyNumberFormat="1" applyFont="1" applyFill="1" applyBorder="1" applyAlignment="1">
      <alignment vertical="center" wrapText="1"/>
    </xf>
    <xf numFmtId="180" fontId="215" fillId="52" borderId="72" xfId="996" applyNumberFormat="1" applyFont="1" applyFill="1" applyBorder="1" applyAlignment="1">
      <alignment vertical="center" wrapText="1"/>
    </xf>
    <xf numFmtId="3" fontId="180" fillId="52" borderId="4" xfId="0" applyNumberFormat="1" applyFont="1" applyFill="1" applyBorder="1" applyAlignment="1">
      <alignment vertical="center"/>
    </xf>
    <xf numFmtId="180" fontId="180" fillId="52" borderId="4" xfId="996" applyNumberFormat="1" applyFont="1" applyFill="1" applyBorder="1" applyAlignment="1">
      <alignment vertical="center" wrapText="1"/>
    </xf>
    <xf numFmtId="3" fontId="215" fillId="52" borderId="4" xfId="2" applyNumberFormat="1" applyFont="1" applyFill="1" applyBorder="1" applyAlignment="1">
      <alignment horizontal="left" vertical="center" wrapText="1"/>
    </xf>
    <xf numFmtId="180" fontId="175" fillId="52" borderId="4" xfId="996" applyNumberFormat="1" applyFont="1" applyFill="1" applyBorder="1" applyAlignment="1">
      <alignment vertical="center" wrapText="1"/>
    </xf>
    <xf numFmtId="0" fontId="215" fillId="52" borderId="4" xfId="994" applyNumberFormat="1" applyFont="1" applyFill="1" applyBorder="1" applyAlignment="1">
      <alignment vertical="center" wrapText="1"/>
    </xf>
    <xf numFmtId="0" fontId="180" fillId="52" borderId="4" xfId="994" applyNumberFormat="1" applyFont="1" applyFill="1" applyBorder="1" applyAlignment="1">
      <alignment vertical="center" wrapText="1"/>
    </xf>
    <xf numFmtId="0" fontId="180" fillId="52" borderId="4" xfId="0" applyNumberFormat="1" applyFont="1" applyFill="1" applyBorder="1" applyAlignment="1">
      <alignment horizontal="left" vertical="center" wrapText="1"/>
    </xf>
    <xf numFmtId="3" fontId="180" fillId="52" borderId="4" xfId="2" applyNumberFormat="1" applyFont="1" applyFill="1" applyBorder="1" applyAlignment="1">
      <alignment horizontal="left" vertical="center" wrapText="1"/>
    </xf>
    <xf numFmtId="3" fontId="175" fillId="52" borderId="4" xfId="2" applyNumberFormat="1" applyFont="1" applyFill="1" applyBorder="1" applyAlignment="1">
      <alignment horizontal="justify" vertical="center" wrapText="1"/>
    </xf>
    <xf numFmtId="0" fontId="180" fillId="0" borderId="4" xfId="0" applyFont="1" applyBorder="1"/>
    <xf numFmtId="0" fontId="180" fillId="0" borderId="4" xfId="0" applyFont="1" applyBorder="1" applyAlignment="1">
      <alignment horizontal="left" wrapText="1"/>
    </xf>
    <xf numFmtId="3" fontId="175" fillId="52" borderId="4" xfId="0" applyNumberFormat="1" applyFont="1" applyFill="1" applyBorder="1" applyAlignment="1">
      <alignment vertical="center" wrapText="1"/>
    </xf>
    <xf numFmtId="3" fontId="180" fillId="52" borderId="4" xfId="0" applyNumberFormat="1" applyFont="1" applyFill="1" applyBorder="1" applyAlignment="1">
      <alignment vertical="center" wrapText="1"/>
    </xf>
    <xf numFmtId="173" fontId="180" fillId="52" borderId="4" xfId="8" applyNumberFormat="1" applyFont="1" applyFill="1" applyBorder="1" applyAlignment="1">
      <alignment horizontal="left" vertical="center" wrapText="1"/>
    </xf>
    <xf numFmtId="173" fontId="215" fillId="52" borderId="4" xfId="8" applyNumberFormat="1" applyFont="1" applyFill="1" applyBorder="1" applyAlignment="1">
      <alignment horizontal="left" vertical="center" wrapText="1"/>
    </xf>
    <xf numFmtId="0" fontId="180" fillId="52" borderId="4" xfId="0" applyFont="1" applyFill="1" applyBorder="1" applyAlignment="1">
      <alignment wrapText="1"/>
    </xf>
    <xf numFmtId="0" fontId="215" fillId="52" borderId="4" xfId="0" applyFont="1" applyFill="1" applyBorder="1" applyAlignment="1">
      <alignment wrapText="1"/>
    </xf>
    <xf numFmtId="3" fontId="215" fillId="52" borderId="4" xfId="0" applyNumberFormat="1" applyFont="1" applyFill="1" applyBorder="1" applyAlignment="1">
      <alignment vertical="center" wrapText="1"/>
    </xf>
    <xf numFmtId="4" fontId="215" fillId="52" borderId="4" xfId="0" applyNumberFormat="1" applyFont="1" applyFill="1" applyBorder="1" applyAlignment="1">
      <alignment horizontal="left"/>
    </xf>
    <xf numFmtId="4" fontId="215" fillId="52" borderId="4" xfId="0" applyNumberFormat="1" applyFont="1" applyFill="1" applyBorder="1" applyAlignment="1">
      <alignment horizontal="center" wrapText="1"/>
    </xf>
    <xf numFmtId="0" fontId="215" fillId="52" borderId="70" xfId="0" applyFont="1" applyFill="1" applyBorder="1" applyAlignment="1">
      <alignment wrapText="1"/>
    </xf>
    <xf numFmtId="4" fontId="180" fillId="52" borderId="56" xfId="0" applyNumberFormat="1" applyFont="1" applyFill="1" applyBorder="1" applyAlignment="1">
      <alignment wrapText="1"/>
    </xf>
    <xf numFmtId="3" fontId="175" fillId="52" borderId="56" xfId="0" applyNumberFormat="1" applyFont="1" applyFill="1" applyBorder="1" applyAlignment="1">
      <alignment vertical="center" wrapText="1"/>
    </xf>
    <xf numFmtId="3" fontId="180" fillId="52" borderId="56" xfId="0" applyNumberFormat="1" applyFont="1" applyFill="1" applyBorder="1" applyAlignment="1">
      <alignment vertical="center" wrapText="1"/>
    </xf>
    <xf numFmtId="3" fontId="188" fillId="52" borderId="56" xfId="0" applyNumberFormat="1" applyFont="1" applyFill="1" applyBorder="1" applyAlignment="1">
      <alignment vertical="center" wrapText="1"/>
    </xf>
    <xf numFmtId="0" fontId="180" fillId="52" borderId="56" xfId="586" applyNumberFormat="1" applyFont="1" applyFill="1" applyBorder="1" applyAlignment="1">
      <alignment horizontal="left" vertical="center" wrapText="1"/>
    </xf>
    <xf numFmtId="173" fontId="215" fillId="52" borderId="56" xfId="586" applyNumberFormat="1" applyFont="1" applyFill="1" applyBorder="1" applyAlignment="1">
      <alignment vertical="center" wrapText="1"/>
    </xf>
    <xf numFmtId="173" fontId="180" fillId="52" borderId="56" xfId="586" applyNumberFormat="1" applyFont="1" applyFill="1" applyBorder="1" applyAlignment="1">
      <alignment vertical="center" wrapText="1"/>
    </xf>
    <xf numFmtId="173" fontId="215" fillId="52" borderId="56" xfId="997" applyNumberFormat="1" applyFont="1" applyFill="1" applyBorder="1" applyAlignment="1">
      <alignment horizontal="left" vertical="center" wrapText="1"/>
    </xf>
    <xf numFmtId="0" fontId="215" fillId="52" borderId="56" xfId="968" applyFont="1" applyFill="1" applyBorder="1" applyAlignment="1">
      <alignment vertical="center" wrapText="1"/>
    </xf>
    <xf numFmtId="173" fontId="184" fillId="52" borderId="56" xfId="586" applyNumberFormat="1" applyFont="1" applyFill="1" applyBorder="1" applyAlignment="1">
      <alignment horizontal="left" vertical="center" wrapText="1"/>
    </xf>
    <xf numFmtId="173" fontId="184" fillId="52" borderId="56" xfId="586" applyNumberFormat="1" applyFont="1" applyFill="1" applyBorder="1" applyAlignment="1">
      <alignment vertical="center" wrapText="1"/>
    </xf>
    <xf numFmtId="3" fontId="185" fillId="52" borderId="56" xfId="0" applyNumberFormat="1" applyFont="1" applyFill="1" applyBorder="1" applyAlignment="1">
      <alignment vertical="center" wrapText="1"/>
    </xf>
    <xf numFmtId="0" fontId="184" fillId="0" borderId="56" xfId="0" applyFont="1" applyBorder="1" applyAlignment="1">
      <alignment horizontal="center" wrapText="1"/>
    </xf>
    <xf numFmtId="3" fontId="184" fillId="0" borderId="56" xfId="0" applyNumberFormat="1" applyFont="1" applyFill="1" applyBorder="1" applyAlignment="1">
      <alignment vertical="center" wrapText="1"/>
    </xf>
    <xf numFmtId="3" fontId="180" fillId="0" borderId="56" xfId="0" applyNumberFormat="1" applyFont="1" applyFill="1" applyBorder="1" applyAlignment="1">
      <alignment vertical="center" wrapText="1"/>
    </xf>
    <xf numFmtId="0" fontId="184" fillId="0" borderId="56" xfId="0" applyFont="1" applyBorder="1" applyAlignment="1">
      <alignment wrapText="1"/>
    </xf>
    <xf numFmtId="263" fontId="194" fillId="52" borderId="16" xfId="962" applyNumberFormat="1" applyFont="1" applyFill="1" applyBorder="1" applyAlignment="1" applyProtection="1">
      <alignment horizontal="right" vertical="center" wrapText="1"/>
    </xf>
    <xf numFmtId="263" fontId="192" fillId="52" borderId="16" xfId="962" applyNumberFormat="1" applyFont="1" applyFill="1" applyBorder="1" applyAlignment="1" applyProtection="1">
      <alignment horizontal="right" vertical="center" wrapText="1"/>
    </xf>
    <xf numFmtId="263" fontId="175" fillId="52" borderId="16" xfId="962" applyNumberFormat="1" applyFont="1" applyFill="1" applyBorder="1" applyAlignment="1">
      <alignment horizontal="right" vertical="center"/>
    </xf>
    <xf numFmtId="263" fontId="183" fillId="52" borderId="16" xfId="962" applyNumberFormat="1" applyFont="1" applyFill="1" applyBorder="1" applyAlignment="1">
      <alignment horizontal="right" vertical="center"/>
    </xf>
    <xf numFmtId="263" fontId="188" fillId="52" borderId="16" xfId="962" applyNumberFormat="1" applyFont="1" applyFill="1" applyBorder="1" applyAlignment="1" applyProtection="1">
      <alignment horizontal="right" vertical="center" wrapText="1"/>
    </xf>
    <xf numFmtId="263" fontId="188" fillId="52" borderId="16" xfId="962" applyNumberFormat="1" applyFont="1" applyFill="1" applyBorder="1" applyAlignment="1">
      <alignment horizontal="right" vertical="center"/>
    </xf>
    <xf numFmtId="263" fontId="173" fillId="52" borderId="16" xfId="962" applyNumberFormat="1" applyFont="1" applyFill="1" applyBorder="1" applyAlignment="1">
      <alignment horizontal="right" vertical="center"/>
    </xf>
    <xf numFmtId="263" fontId="180" fillId="52" borderId="16" xfId="962" applyNumberFormat="1" applyFont="1" applyFill="1" applyBorder="1" applyAlignment="1">
      <alignment horizontal="right" vertical="center"/>
    </xf>
    <xf numFmtId="263" fontId="42" fillId="52" borderId="16" xfId="962" applyNumberFormat="1" applyFont="1" applyFill="1" applyBorder="1" applyAlignment="1">
      <alignment horizontal="right" vertical="center"/>
    </xf>
    <xf numFmtId="263" fontId="180" fillId="52" borderId="16" xfId="962" applyNumberFormat="1" applyFont="1" applyFill="1" applyBorder="1" applyAlignment="1">
      <alignment horizontal="right" vertical="center" wrapText="1"/>
    </xf>
    <xf numFmtId="263" fontId="42" fillId="52" borderId="16" xfId="962" applyNumberFormat="1" applyFont="1" applyFill="1" applyBorder="1" applyAlignment="1">
      <alignment horizontal="right" vertical="center" wrapText="1"/>
    </xf>
    <xf numFmtId="263" fontId="187" fillId="52" borderId="16" xfId="962" applyNumberFormat="1" applyFont="1" applyFill="1" applyBorder="1" applyAlignment="1">
      <alignment horizontal="right" vertical="center"/>
    </xf>
    <xf numFmtId="263" fontId="202" fillId="52" borderId="16" xfId="962" applyNumberFormat="1" applyFont="1" applyFill="1" applyBorder="1" applyAlignment="1">
      <alignment horizontal="right" vertical="center"/>
    </xf>
    <xf numFmtId="263" fontId="184" fillId="52" borderId="16" xfId="962" applyNumberFormat="1" applyFont="1" applyFill="1" applyBorder="1" applyAlignment="1">
      <alignment horizontal="right" vertical="center" wrapText="1"/>
    </xf>
    <xf numFmtId="263" fontId="184" fillId="52" borderId="16" xfId="962" applyNumberFormat="1" applyFont="1" applyFill="1" applyBorder="1" applyAlignment="1">
      <alignment horizontal="right"/>
    </xf>
    <xf numFmtId="263" fontId="172" fillId="52" borderId="16" xfId="962" applyNumberFormat="1" applyFont="1" applyFill="1" applyBorder="1" applyAlignment="1">
      <alignment horizontal="right"/>
    </xf>
    <xf numFmtId="263" fontId="181" fillId="52" borderId="16" xfId="962" applyNumberFormat="1" applyFont="1" applyFill="1" applyBorder="1" applyAlignment="1">
      <alignment horizontal="right" vertical="center"/>
    </xf>
    <xf numFmtId="263" fontId="181" fillId="52" borderId="16" xfId="962" applyNumberFormat="1" applyFont="1" applyFill="1" applyBorder="1" applyAlignment="1">
      <alignment horizontal="right" vertical="center" wrapText="1"/>
    </xf>
    <xf numFmtId="263" fontId="175" fillId="52" borderId="16" xfId="962" applyNumberFormat="1" applyFont="1" applyFill="1" applyBorder="1" applyAlignment="1" applyProtection="1">
      <alignment horizontal="right" vertical="center" wrapText="1"/>
    </xf>
    <xf numFmtId="263" fontId="196" fillId="52" borderId="16" xfId="962" applyNumberFormat="1" applyFont="1" applyFill="1" applyBorder="1" applyAlignment="1">
      <alignment horizontal="right" vertical="center"/>
    </xf>
    <xf numFmtId="263" fontId="187" fillId="52" borderId="16" xfId="962" applyNumberFormat="1" applyFont="1" applyFill="1" applyBorder="1" applyAlignment="1">
      <alignment horizontal="right" vertical="center" wrapText="1"/>
    </xf>
    <xf numFmtId="263" fontId="186" fillId="52" borderId="16" xfId="962" applyNumberFormat="1" applyFont="1" applyFill="1" applyBorder="1" applyAlignment="1">
      <alignment horizontal="right" vertical="center" wrapText="1"/>
    </xf>
    <xf numFmtId="263" fontId="172" fillId="52" borderId="16" xfId="962" applyNumberFormat="1" applyFont="1" applyFill="1" applyBorder="1" applyAlignment="1">
      <alignment horizontal="right" vertical="center"/>
    </xf>
    <xf numFmtId="263" fontId="184" fillId="52" borderId="16" xfId="962" applyNumberFormat="1" applyFont="1" applyFill="1" applyBorder="1" applyAlignment="1">
      <alignment horizontal="right" vertical="center"/>
    </xf>
    <xf numFmtId="263" fontId="188" fillId="51" borderId="16" xfId="962" applyNumberFormat="1" applyFont="1" applyFill="1" applyBorder="1" applyAlignment="1">
      <alignment horizontal="right" vertical="center"/>
    </xf>
    <xf numFmtId="263" fontId="173" fillId="51" borderId="16" xfId="962" applyNumberFormat="1" applyFont="1" applyFill="1" applyBorder="1" applyAlignment="1">
      <alignment horizontal="right" vertical="center"/>
    </xf>
    <xf numFmtId="263" fontId="184" fillId="0" borderId="16" xfId="962" applyNumberFormat="1" applyFont="1" applyFill="1" applyBorder="1" applyAlignment="1">
      <alignment horizontal="right"/>
    </xf>
    <xf numFmtId="263" fontId="42" fillId="0" borderId="16" xfId="962" applyNumberFormat="1" applyFont="1" applyFill="1" applyBorder="1" applyAlignment="1">
      <alignment horizontal="right" vertical="center"/>
    </xf>
    <xf numFmtId="263" fontId="184" fillId="51" borderId="16" xfId="962" applyNumberFormat="1" applyFont="1" applyFill="1" applyBorder="1" applyAlignment="1">
      <alignment horizontal="right" vertical="center"/>
    </xf>
    <xf numFmtId="263" fontId="172" fillId="51" borderId="16" xfId="962" applyNumberFormat="1" applyFont="1" applyFill="1" applyBorder="1" applyAlignment="1">
      <alignment horizontal="right" vertical="center"/>
    </xf>
    <xf numFmtId="263" fontId="180" fillId="52" borderId="16" xfId="962" applyNumberFormat="1" applyFont="1" applyFill="1" applyBorder="1" applyAlignment="1">
      <alignment horizontal="right"/>
    </xf>
    <xf numFmtId="263" fontId="186" fillId="52" borderId="16" xfId="962" applyNumberFormat="1" applyFont="1" applyFill="1" applyBorder="1" applyAlignment="1">
      <alignment horizontal="right"/>
    </xf>
    <xf numFmtId="263" fontId="179" fillId="52" borderId="16" xfId="962" applyNumberFormat="1" applyFont="1" applyFill="1" applyBorder="1" applyAlignment="1">
      <alignment horizontal="right" vertical="center" wrapText="1"/>
    </xf>
    <xf numFmtId="263" fontId="180" fillId="52" borderId="16" xfId="962" applyNumberFormat="1" applyFont="1" applyFill="1" applyBorder="1" applyAlignment="1" applyProtection="1">
      <alignment horizontal="right" vertical="center" wrapText="1"/>
    </xf>
    <xf numFmtId="263" fontId="215" fillId="52" borderId="16" xfId="962" applyNumberFormat="1" applyFont="1" applyFill="1" applyBorder="1" applyAlignment="1" applyProtection="1">
      <alignment horizontal="right" vertical="center" wrapText="1"/>
    </xf>
    <xf numFmtId="263" fontId="215" fillId="52" borderId="16" xfId="962" applyNumberFormat="1" applyFont="1" applyFill="1" applyBorder="1" applyAlignment="1">
      <alignment horizontal="right" vertical="center" wrapText="1"/>
    </xf>
    <xf numFmtId="263" fontId="213" fillId="52" borderId="16" xfId="962" applyNumberFormat="1" applyFont="1" applyFill="1" applyBorder="1" applyAlignment="1">
      <alignment horizontal="right" vertical="center"/>
    </xf>
    <xf numFmtId="263" fontId="215" fillId="52" borderId="16" xfId="962" applyNumberFormat="1" applyFont="1" applyFill="1" applyBorder="1" applyAlignment="1">
      <alignment horizontal="right" vertical="center"/>
    </xf>
    <xf numFmtId="263" fontId="181" fillId="52" borderId="16" xfId="962" applyNumberFormat="1" applyFont="1" applyFill="1" applyBorder="1" applyAlignment="1" applyProtection="1">
      <alignment horizontal="right" vertical="center" wrapText="1"/>
    </xf>
    <xf numFmtId="263" fontId="181" fillId="52" borderId="16" xfId="962" applyNumberFormat="1" applyFont="1" applyFill="1" applyBorder="1" applyAlignment="1">
      <alignment horizontal="right"/>
    </xf>
    <xf numFmtId="263" fontId="215" fillId="52" borderId="16" xfId="962" applyNumberFormat="1" applyFont="1" applyFill="1" applyBorder="1" applyAlignment="1">
      <alignment horizontal="right"/>
    </xf>
    <xf numFmtId="263" fontId="180" fillId="57" borderId="16" xfId="962" applyNumberFormat="1" applyFont="1" applyFill="1" applyBorder="1" applyAlignment="1">
      <alignment horizontal="right" vertical="center" wrapText="1"/>
    </xf>
    <xf numFmtId="263" fontId="180" fillId="57" borderId="16" xfId="962" applyNumberFormat="1" applyFont="1" applyFill="1" applyBorder="1" applyAlignment="1">
      <alignment horizontal="right" vertical="center"/>
    </xf>
    <xf numFmtId="263" fontId="178" fillId="52" borderId="16" xfId="962" applyNumberFormat="1" applyFont="1" applyFill="1" applyBorder="1" applyAlignment="1">
      <alignment horizontal="right" vertical="center"/>
    </xf>
    <xf numFmtId="263" fontId="179" fillId="52" borderId="16" xfId="962" applyNumberFormat="1" applyFont="1" applyFill="1" applyBorder="1" applyAlignment="1">
      <alignment horizontal="right" vertical="center"/>
    </xf>
    <xf numFmtId="263" fontId="181" fillId="58" borderId="16" xfId="962" applyNumberFormat="1" applyFont="1" applyFill="1" applyBorder="1" applyAlignment="1">
      <alignment horizontal="right" vertical="center"/>
    </xf>
    <xf numFmtId="263" fontId="187" fillId="52" borderId="16" xfId="962" applyNumberFormat="1" applyFont="1" applyFill="1" applyBorder="1" applyAlignment="1">
      <alignment horizontal="right" wrapText="1"/>
    </xf>
    <xf numFmtId="263" fontId="180" fillId="52" borderId="16" xfId="962" applyNumberFormat="1" applyFont="1" applyFill="1" applyBorder="1" applyAlignment="1">
      <alignment horizontal="right" wrapText="1"/>
    </xf>
    <xf numFmtId="263" fontId="186" fillId="52" borderId="16" xfId="962" applyNumberFormat="1" applyFont="1" applyFill="1" applyBorder="1" applyAlignment="1">
      <alignment horizontal="right" vertical="center"/>
    </xf>
    <xf numFmtId="263" fontId="196" fillId="2" borderId="16" xfId="962" applyNumberFormat="1" applyFont="1" applyFill="1" applyBorder="1" applyAlignment="1">
      <alignment horizontal="right" vertical="center"/>
    </xf>
    <xf numFmtId="263" fontId="187" fillId="2" borderId="16" xfId="962" applyNumberFormat="1" applyFont="1" applyFill="1" applyBorder="1" applyAlignment="1">
      <alignment horizontal="right" vertical="center"/>
    </xf>
    <xf numFmtId="263" fontId="196" fillId="55" borderId="16" xfId="962" applyNumberFormat="1" applyFont="1" applyFill="1" applyBorder="1" applyAlignment="1">
      <alignment horizontal="right" vertical="center"/>
    </xf>
    <xf numFmtId="263" fontId="187" fillId="55" borderId="16" xfId="962" applyNumberFormat="1" applyFont="1" applyFill="1" applyBorder="1" applyAlignment="1">
      <alignment horizontal="right" vertical="center"/>
    </xf>
    <xf numFmtId="263" fontId="180" fillId="0" borderId="16" xfId="962" applyNumberFormat="1" applyFont="1" applyFill="1" applyBorder="1" applyAlignment="1">
      <alignment horizontal="right" vertical="center" wrapText="1"/>
    </xf>
    <xf numFmtId="263" fontId="192" fillId="52" borderId="16" xfId="962" applyNumberFormat="1" applyFont="1" applyFill="1" applyBorder="1" applyAlignment="1">
      <alignment horizontal="right" vertical="center"/>
    </xf>
    <xf numFmtId="263" fontId="194" fillId="52" borderId="16" xfId="962" applyNumberFormat="1" applyFont="1" applyFill="1" applyBorder="1" applyAlignment="1">
      <alignment horizontal="right" vertical="center"/>
    </xf>
    <xf numFmtId="263" fontId="199" fillId="52" borderId="16" xfId="962" applyNumberFormat="1" applyFont="1" applyFill="1" applyBorder="1" applyAlignment="1">
      <alignment horizontal="right" vertical="center"/>
    </xf>
    <xf numFmtId="263" fontId="194" fillId="55" borderId="16" xfId="962" applyNumberFormat="1" applyFont="1" applyFill="1" applyBorder="1" applyAlignment="1">
      <alignment horizontal="right" vertical="center"/>
    </xf>
    <xf numFmtId="263" fontId="199" fillId="55" borderId="16" xfId="962" applyNumberFormat="1" applyFont="1" applyFill="1" applyBorder="1" applyAlignment="1">
      <alignment horizontal="right" vertical="center"/>
    </xf>
    <xf numFmtId="263" fontId="180" fillId="0" borderId="16" xfId="962" applyNumberFormat="1" applyFont="1" applyFill="1" applyBorder="1" applyAlignment="1">
      <alignment horizontal="right" vertical="center"/>
    </xf>
    <xf numFmtId="263" fontId="187" fillId="0" borderId="16" xfId="962" applyNumberFormat="1" applyFont="1" applyFill="1" applyBorder="1" applyAlignment="1">
      <alignment horizontal="right" vertical="center"/>
    </xf>
    <xf numFmtId="263" fontId="204" fillId="52" borderId="16" xfId="962" applyNumberFormat="1" applyFont="1" applyFill="1" applyBorder="1" applyAlignment="1">
      <alignment horizontal="right" vertical="center"/>
    </xf>
    <xf numFmtId="263" fontId="193" fillId="52" borderId="16" xfId="962" applyNumberFormat="1" applyFont="1" applyFill="1" applyBorder="1" applyAlignment="1">
      <alignment horizontal="right" vertical="center"/>
    </xf>
    <xf numFmtId="263" fontId="195" fillId="52" borderId="16" xfId="962" applyNumberFormat="1" applyFont="1" applyFill="1" applyBorder="1" applyAlignment="1">
      <alignment horizontal="right" vertical="center"/>
    </xf>
    <xf numFmtId="263" fontId="188" fillId="2" borderId="16" xfId="962" applyNumberFormat="1" applyFont="1" applyFill="1" applyBorder="1" applyAlignment="1" applyProtection="1">
      <alignment horizontal="right" vertical="center" wrapText="1"/>
    </xf>
    <xf numFmtId="263" fontId="188" fillId="2" borderId="16" xfId="962" applyNumberFormat="1" applyFont="1" applyFill="1" applyBorder="1" applyAlignment="1">
      <alignment horizontal="right" vertical="center"/>
    </xf>
    <xf numFmtId="263" fontId="173" fillId="2" borderId="16" xfId="962" applyNumberFormat="1" applyFont="1" applyFill="1" applyBorder="1" applyAlignment="1">
      <alignment horizontal="right" vertical="center"/>
    </xf>
    <xf numFmtId="263" fontId="181" fillId="0" borderId="16" xfId="962" applyNumberFormat="1" applyFont="1" applyFill="1" applyBorder="1" applyAlignment="1">
      <alignment horizontal="right" vertical="center"/>
    </xf>
    <xf numFmtId="263" fontId="184" fillId="0" borderId="16" xfId="962" applyNumberFormat="1" applyFont="1" applyFill="1" applyBorder="1" applyAlignment="1">
      <alignment horizontal="right" vertical="center" wrapText="1"/>
    </xf>
    <xf numFmtId="263" fontId="184" fillId="0" borderId="16" xfId="962" applyNumberFormat="1" applyFont="1" applyFill="1" applyBorder="1" applyAlignment="1">
      <alignment horizontal="right" vertical="center"/>
    </xf>
    <xf numFmtId="263" fontId="42" fillId="0" borderId="16" xfId="962" applyNumberFormat="1" applyFont="1" applyBorder="1" applyAlignment="1">
      <alignment horizontal="right"/>
    </xf>
    <xf numFmtId="263" fontId="196" fillId="0" borderId="16" xfId="962" applyNumberFormat="1" applyFont="1" applyFill="1" applyBorder="1" applyAlignment="1">
      <alignment horizontal="right" vertical="center"/>
    </xf>
    <xf numFmtId="263" fontId="202" fillId="0" borderId="16" xfId="962" applyNumberFormat="1" applyFont="1" applyFill="1" applyBorder="1" applyAlignment="1">
      <alignment horizontal="right" vertical="center"/>
    </xf>
    <xf numFmtId="263" fontId="42" fillId="0" borderId="16" xfId="962" applyNumberFormat="1" applyFont="1" applyFill="1" applyBorder="1" applyAlignment="1">
      <alignment horizontal="right" vertical="center" wrapText="1"/>
    </xf>
    <xf numFmtId="263" fontId="187" fillId="52" borderId="16" xfId="962" applyNumberFormat="1" applyFont="1" applyFill="1" applyBorder="1" applyAlignment="1">
      <alignment horizontal="right"/>
    </xf>
    <xf numFmtId="263" fontId="184" fillId="52" borderId="16" xfId="962" applyNumberFormat="1" applyFont="1" applyFill="1" applyBorder="1" applyAlignment="1" applyProtection="1">
      <alignment horizontal="right" vertical="center" wrapText="1"/>
    </xf>
    <xf numFmtId="263" fontId="185" fillId="52" borderId="16" xfId="962" applyNumberFormat="1" applyFont="1" applyFill="1" applyBorder="1" applyAlignment="1">
      <alignment horizontal="right" vertical="center"/>
    </xf>
    <xf numFmtId="263" fontId="200" fillId="52" borderId="16" xfId="962" applyNumberFormat="1" applyFont="1" applyFill="1" applyBorder="1" applyAlignment="1">
      <alignment horizontal="right" vertical="center"/>
    </xf>
    <xf numFmtId="263" fontId="172" fillId="0" borderId="16" xfId="962" applyNumberFormat="1" applyFont="1" applyFill="1" applyBorder="1" applyAlignment="1">
      <alignment horizontal="right" vertical="center"/>
    </xf>
    <xf numFmtId="263" fontId="180" fillId="51" borderId="16" xfId="962" applyNumberFormat="1" applyFont="1" applyFill="1" applyBorder="1" applyAlignment="1">
      <alignment horizontal="right" vertical="center"/>
    </xf>
    <xf numFmtId="263" fontId="42" fillId="51" borderId="16" xfId="962" applyNumberFormat="1" applyFont="1" applyFill="1" applyBorder="1" applyAlignment="1">
      <alignment horizontal="right" vertical="center"/>
    </xf>
    <xf numFmtId="263" fontId="177" fillId="0" borderId="16" xfId="962" applyNumberFormat="1" applyFont="1" applyFill="1" applyBorder="1" applyAlignment="1">
      <alignment horizontal="right" vertical="center"/>
    </xf>
    <xf numFmtId="263" fontId="205" fillId="0" borderId="16" xfId="962" applyNumberFormat="1" applyFont="1" applyFill="1" applyBorder="1" applyAlignment="1">
      <alignment horizontal="right" vertical="center"/>
    </xf>
    <xf numFmtId="263" fontId="175" fillId="0" borderId="16" xfId="962" applyNumberFormat="1" applyFont="1" applyFill="1" applyBorder="1" applyAlignment="1">
      <alignment horizontal="right" vertical="center"/>
    </xf>
    <xf numFmtId="263" fontId="183" fillId="0" borderId="16" xfId="962" applyNumberFormat="1" applyFont="1" applyFill="1" applyBorder="1" applyAlignment="1">
      <alignment horizontal="right" vertical="center"/>
    </xf>
    <xf numFmtId="0" fontId="184" fillId="24" borderId="0" xfId="0" applyNumberFormat="1" applyFont="1" applyFill="1" applyAlignment="1">
      <alignment vertical="center"/>
    </xf>
    <xf numFmtId="0" fontId="184" fillId="24" borderId="0" xfId="0" applyNumberFormat="1" applyFont="1" applyFill="1" applyAlignment="1">
      <alignment horizontal="center" vertical="center"/>
    </xf>
    <xf numFmtId="0" fontId="180" fillId="24" borderId="0" xfId="0" applyNumberFormat="1" applyFont="1" applyFill="1" applyAlignment="1">
      <alignment horizontal="right" vertical="center"/>
    </xf>
    <xf numFmtId="0" fontId="42" fillId="24" borderId="0" xfId="0" applyNumberFormat="1" applyFont="1" applyFill="1" applyAlignment="1">
      <alignment horizontal="right" vertical="center"/>
    </xf>
    <xf numFmtId="0" fontId="181" fillId="24" borderId="1" xfId="3" applyNumberFormat="1" applyFont="1" applyFill="1" applyBorder="1" applyAlignment="1">
      <alignment horizontal="right" vertical="center" wrapText="1"/>
    </xf>
    <xf numFmtId="0" fontId="196" fillId="24" borderId="1" xfId="3" applyNumberFormat="1" applyFont="1" applyFill="1" applyBorder="1" applyAlignment="1">
      <alignment horizontal="right" vertical="center" wrapText="1"/>
    </xf>
    <xf numFmtId="0" fontId="196" fillId="24" borderId="6" xfId="3" applyNumberFormat="1" applyFont="1" applyFill="1" applyBorder="1" applyAlignment="1">
      <alignment horizontal="right" vertical="center" wrapText="1"/>
    </xf>
    <xf numFmtId="0" fontId="196" fillId="24" borderId="11" xfId="3" applyNumberFormat="1" applyFont="1" applyFill="1" applyBorder="1" applyAlignment="1">
      <alignment horizontal="right" vertical="center" wrapText="1"/>
    </xf>
    <xf numFmtId="0" fontId="181" fillId="24" borderId="1" xfId="0" applyNumberFormat="1" applyFont="1" applyFill="1" applyBorder="1" applyAlignment="1">
      <alignment horizontal="right" vertical="center"/>
    </xf>
    <xf numFmtId="0" fontId="186" fillId="24" borderId="0" xfId="0" applyNumberFormat="1" applyFont="1" applyFill="1" applyAlignment="1">
      <alignment horizontal="center" vertical="center"/>
    </xf>
    <xf numFmtId="0" fontId="186" fillId="24" borderId="12" xfId="2" applyNumberFormat="1" applyFont="1" applyFill="1" applyBorder="1" applyAlignment="1">
      <alignment horizontal="center" vertical="center" wrapText="1"/>
    </xf>
    <xf numFmtId="0" fontId="187" fillId="24" borderId="1" xfId="3" applyNumberFormat="1" applyFont="1" applyFill="1" applyBorder="1" applyAlignment="1">
      <alignment horizontal="right" vertical="center" wrapText="1"/>
    </xf>
    <xf numFmtId="0" fontId="202" fillId="24" borderId="1" xfId="3" applyNumberFormat="1" applyFont="1" applyFill="1" applyBorder="1" applyAlignment="1">
      <alignment horizontal="right" vertical="center" wrapText="1"/>
    </xf>
    <xf numFmtId="0" fontId="187" fillId="24" borderId="1" xfId="0" applyNumberFormat="1" applyFont="1" applyFill="1" applyBorder="1" applyAlignment="1">
      <alignment horizontal="right" vertical="center"/>
    </xf>
    <xf numFmtId="0" fontId="187" fillId="24" borderId="9" xfId="4" applyNumberFormat="1" applyFont="1" applyFill="1" applyBorder="1" applyAlignment="1">
      <alignment horizontal="right" vertical="center" wrapText="1"/>
    </xf>
    <xf numFmtId="0" fontId="187" fillId="24" borderId="1" xfId="4" applyNumberFormat="1" applyFont="1" applyFill="1" applyBorder="1" applyAlignment="1">
      <alignment horizontal="right" vertical="center" wrapText="1"/>
    </xf>
    <xf numFmtId="0" fontId="172" fillId="24" borderId="0" xfId="0" applyNumberFormat="1" applyFont="1" applyFill="1" applyAlignment="1">
      <alignment horizontal="center" vertical="center"/>
    </xf>
    <xf numFmtId="0" fontId="194" fillId="24" borderId="12" xfId="2" applyNumberFormat="1" applyFont="1" applyFill="1" applyBorder="1" applyAlignment="1">
      <alignment horizontal="center" vertical="center" wrapText="1"/>
    </xf>
    <xf numFmtId="0" fontId="175" fillId="24" borderId="0" xfId="0" applyNumberFormat="1" applyFont="1" applyFill="1" applyAlignment="1">
      <alignment vertical="center"/>
    </xf>
    <xf numFmtId="0" fontId="175" fillId="24" borderId="16" xfId="2" applyNumberFormat="1" applyFont="1" applyFill="1" applyBorder="1" applyAlignment="1">
      <alignment horizontal="left" vertical="center" wrapText="1"/>
    </xf>
    <xf numFmtId="0" fontId="175" fillId="24" borderId="54" xfId="2" applyNumberFormat="1" applyFont="1" applyFill="1" applyBorder="1" applyAlignment="1">
      <alignment horizontal="left" vertical="center" wrapText="1"/>
    </xf>
    <xf numFmtId="0" fontId="188" fillId="24" borderId="0" xfId="0" applyNumberFormat="1" applyFont="1" applyFill="1" applyAlignment="1">
      <alignment vertical="center"/>
    </xf>
    <xf numFmtId="0" fontId="188" fillId="24" borderId="16" xfId="2" applyNumberFormat="1" applyFont="1" applyFill="1" applyBorder="1" applyAlignment="1">
      <alignment horizontal="left" vertical="center" wrapText="1"/>
    </xf>
    <xf numFmtId="0" fontId="188" fillId="24" borderId="54" xfId="2" applyNumberFormat="1" applyFont="1" applyFill="1" applyBorder="1" applyAlignment="1">
      <alignment horizontal="left" vertical="center" wrapText="1"/>
    </xf>
    <xf numFmtId="0" fontId="188" fillId="24" borderId="56" xfId="2" applyNumberFormat="1" applyFont="1" applyFill="1" applyBorder="1" applyAlignment="1">
      <alignment horizontal="left" vertical="center" wrapText="1"/>
    </xf>
    <xf numFmtId="0" fontId="178" fillId="24" borderId="0" xfId="0" applyNumberFormat="1" applyFont="1" applyFill="1" applyAlignment="1">
      <alignment vertical="center"/>
    </xf>
    <xf numFmtId="0" fontId="180" fillId="24" borderId="16" xfId="2" applyNumberFormat="1" applyFont="1" applyFill="1" applyBorder="1" applyAlignment="1">
      <alignment horizontal="left" vertical="center" wrapText="1"/>
    </xf>
    <xf numFmtId="0" fontId="180" fillId="24" borderId="54" xfId="2" applyNumberFormat="1" applyFont="1" applyFill="1" applyBorder="1" applyAlignment="1">
      <alignment horizontal="left" vertical="center" wrapText="1"/>
    </xf>
    <xf numFmtId="0" fontId="180" fillId="24" borderId="56" xfId="2" applyNumberFormat="1" applyFont="1" applyFill="1" applyBorder="1" applyAlignment="1">
      <alignment horizontal="left" vertical="center" wrapText="1"/>
    </xf>
    <xf numFmtId="0" fontId="215" fillId="24" borderId="56" xfId="2" applyNumberFormat="1" applyFont="1" applyFill="1" applyBorder="1" applyAlignment="1">
      <alignment horizontal="left" vertical="center" wrapText="1"/>
    </xf>
    <xf numFmtId="0" fontId="184" fillId="24" borderId="56" xfId="2" applyNumberFormat="1" applyFont="1" applyFill="1" applyBorder="1" applyAlignment="1">
      <alignment horizontal="left" vertical="center" wrapText="1"/>
    </xf>
    <xf numFmtId="0" fontId="180" fillId="24" borderId="0" xfId="0" applyNumberFormat="1" applyFont="1" applyFill="1" applyAlignment="1">
      <alignment vertical="center"/>
    </xf>
    <xf numFmtId="0" fontId="215" fillId="24" borderId="56" xfId="0" applyNumberFormat="1" applyFont="1" applyFill="1" applyBorder="1" applyAlignment="1">
      <alignment vertical="center" wrapText="1"/>
    </xf>
    <xf numFmtId="0" fontId="184" fillId="24" borderId="16" xfId="2" applyNumberFormat="1" applyFont="1" applyFill="1" applyBorder="1" applyAlignment="1">
      <alignment horizontal="left" vertical="center" wrapText="1"/>
    </xf>
    <xf numFmtId="0" fontId="184" fillId="24" borderId="54" xfId="2" applyNumberFormat="1" applyFont="1" applyFill="1" applyBorder="1" applyAlignment="1">
      <alignment horizontal="left" vertical="center" wrapText="1"/>
    </xf>
    <xf numFmtId="0" fontId="180" fillId="24" borderId="16" xfId="0" applyNumberFormat="1" applyFont="1" applyFill="1" applyBorder="1" applyAlignment="1">
      <alignment horizontal="center" vertical="center"/>
    </xf>
    <xf numFmtId="0" fontId="175" fillId="24" borderId="16" xfId="2" applyNumberFormat="1" applyFont="1" applyFill="1" applyBorder="1" applyAlignment="1">
      <alignment horizontal="center" vertical="center" wrapText="1"/>
    </xf>
    <xf numFmtId="0" fontId="188" fillId="24" borderId="16" xfId="0" applyNumberFormat="1" applyFont="1" applyFill="1" applyBorder="1" applyAlignment="1">
      <alignment horizontal="center" vertical="center"/>
    </xf>
    <xf numFmtId="0" fontId="181" fillId="24" borderId="0" xfId="0" applyNumberFormat="1" applyFont="1" applyFill="1" applyAlignment="1">
      <alignment vertical="center"/>
    </xf>
    <xf numFmtId="0" fontId="215" fillId="24" borderId="56" xfId="0" applyNumberFormat="1" applyFont="1" applyFill="1" applyBorder="1" applyAlignment="1">
      <alignment horizontal="left" vertical="center" wrapText="1"/>
    </xf>
    <xf numFmtId="0" fontId="180" fillId="24" borderId="56" xfId="992" applyNumberFormat="1" applyFont="1" applyFill="1" applyBorder="1" applyAlignment="1">
      <alignment horizontal="left" vertical="center" wrapText="1"/>
    </xf>
    <xf numFmtId="0" fontId="215" fillId="24" borderId="56" xfId="992" applyNumberFormat="1" applyFont="1" applyFill="1" applyBorder="1" applyAlignment="1">
      <alignment horizontal="left" vertical="center" wrapText="1"/>
    </xf>
    <xf numFmtId="0" fontId="180" fillId="24" borderId="56" xfId="993" applyNumberFormat="1" applyFont="1" applyFill="1" applyBorder="1" applyAlignment="1">
      <alignment horizontal="left" vertical="center" wrapText="1"/>
    </xf>
    <xf numFmtId="0" fontId="184" fillId="24" borderId="56" xfId="993" applyNumberFormat="1" applyFont="1" applyFill="1" applyBorder="1" applyAlignment="1">
      <alignment horizontal="left" vertical="center" wrapText="1"/>
    </xf>
    <xf numFmtId="0" fontId="180" fillId="24" borderId="56" xfId="0" applyNumberFormat="1" applyFont="1" applyFill="1" applyBorder="1" applyAlignment="1">
      <alignment wrapText="1"/>
    </xf>
    <xf numFmtId="0" fontId="180" fillId="24" borderId="56" xfId="994" applyNumberFormat="1" applyFont="1" applyFill="1" applyBorder="1" applyAlignment="1">
      <alignment horizontal="left" vertical="center" wrapText="1"/>
    </xf>
    <xf numFmtId="0" fontId="215" fillId="24" borderId="56" xfId="995" applyNumberFormat="1" applyFont="1" applyFill="1" applyBorder="1" applyAlignment="1">
      <alignment horizontal="left" vertical="center" wrapText="1"/>
    </xf>
    <xf numFmtId="0" fontId="180" fillId="24" borderId="56" xfId="995" applyNumberFormat="1" applyFont="1" applyFill="1" applyBorder="1" applyAlignment="1">
      <alignment horizontal="left" vertical="center" wrapText="1"/>
    </xf>
    <xf numFmtId="0" fontId="180" fillId="24" borderId="56" xfId="0" applyNumberFormat="1" applyFont="1" applyFill="1" applyBorder="1" applyAlignment="1">
      <alignment horizontal="left" vertical="center" wrapText="1"/>
    </xf>
    <xf numFmtId="0" fontId="180" fillId="24" borderId="56" xfId="0" applyNumberFormat="1" applyFont="1" applyFill="1" applyBorder="1" applyAlignment="1">
      <alignment horizontal="left"/>
    </xf>
    <xf numFmtId="0" fontId="188" fillId="24" borderId="16" xfId="968" applyNumberFormat="1" applyFont="1" applyFill="1" applyBorder="1" applyAlignment="1">
      <alignment horizontal="center" vertical="center" wrapText="1"/>
    </xf>
    <xf numFmtId="0" fontId="184" fillId="24" borderId="16" xfId="968" applyNumberFormat="1" applyFont="1" applyFill="1" applyBorder="1" applyAlignment="1">
      <alignment horizontal="center" vertical="center" wrapText="1"/>
    </xf>
    <xf numFmtId="0" fontId="215" fillId="24" borderId="56" xfId="0" applyNumberFormat="1" applyFont="1" applyFill="1" applyBorder="1" applyAlignment="1">
      <alignment wrapText="1"/>
    </xf>
    <xf numFmtId="0" fontId="184" fillId="24" borderId="56" xfId="995" applyNumberFormat="1" applyFont="1" applyFill="1" applyBorder="1" applyAlignment="1">
      <alignment horizontal="left" vertical="center" wrapText="1"/>
    </xf>
    <xf numFmtId="0" fontId="180" fillId="24" borderId="16" xfId="0" applyNumberFormat="1" applyFont="1" applyFill="1" applyBorder="1" applyAlignment="1">
      <alignment horizontal="center"/>
    </xf>
    <xf numFmtId="0" fontId="184" fillId="24" borderId="56" xfId="0" applyNumberFormat="1" applyFont="1" applyFill="1" applyBorder="1" applyAlignment="1">
      <alignment horizontal="left" vertical="center" wrapText="1"/>
    </xf>
    <xf numFmtId="0" fontId="184" fillId="24" borderId="56" xfId="994" applyNumberFormat="1" applyFont="1" applyFill="1" applyBorder="1" applyAlignment="1">
      <alignment horizontal="left" vertical="center" wrapText="1"/>
    </xf>
    <xf numFmtId="0" fontId="215" fillId="24" borderId="56" xfId="994" applyNumberFormat="1" applyFont="1" applyFill="1" applyBorder="1" applyAlignment="1">
      <alignment horizontal="left" vertical="center" wrapText="1"/>
    </xf>
    <xf numFmtId="0" fontId="215" fillId="24" borderId="56" xfId="994" applyNumberFormat="1" applyFont="1" applyFill="1" applyBorder="1" applyAlignment="1">
      <alignment vertical="center" wrapText="1"/>
    </xf>
    <xf numFmtId="0" fontId="184" fillId="24" borderId="56" xfId="994" applyNumberFormat="1" applyFont="1" applyFill="1" applyBorder="1" applyAlignment="1">
      <alignment vertical="center" wrapText="1"/>
    </xf>
    <xf numFmtId="0" fontId="215" fillId="24" borderId="56" xfId="994" applyNumberFormat="1" applyFont="1" applyFill="1" applyBorder="1" applyAlignment="1">
      <alignment horizontal="center" vertical="center" wrapText="1"/>
    </xf>
    <xf numFmtId="0" fontId="178" fillId="24" borderId="56" xfId="2" applyNumberFormat="1" applyFont="1" applyFill="1" applyBorder="1" applyAlignment="1">
      <alignment horizontal="left" vertical="center" wrapText="1"/>
    </xf>
    <xf numFmtId="0" fontId="175" fillId="24" borderId="16" xfId="968" applyNumberFormat="1" applyFont="1" applyFill="1" applyBorder="1" applyAlignment="1">
      <alignment horizontal="center" vertical="center" wrapText="1"/>
    </xf>
    <xf numFmtId="0" fontId="215" fillId="24" borderId="0" xfId="0" applyNumberFormat="1" applyFont="1" applyFill="1" applyAlignment="1">
      <alignment vertical="center"/>
    </xf>
    <xf numFmtId="0" fontId="215" fillId="24" borderId="16" xfId="0" applyNumberFormat="1" applyFont="1" applyFill="1" applyBorder="1" applyAlignment="1">
      <alignment horizontal="center" vertical="center"/>
    </xf>
    <xf numFmtId="0" fontId="215" fillId="24" borderId="54" xfId="2" applyNumberFormat="1" applyFont="1" applyFill="1" applyBorder="1" applyAlignment="1">
      <alignment horizontal="left" vertical="center" wrapText="1"/>
    </xf>
    <xf numFmtId="0" fontId="180" fillId="24" borderId="56" xfId="994" applyNumberFormat="1" applyFont="1" applyFill="1" applyBorder="1" applyAlignment="1">
      <alignment horizontal="justify" vertical="center" wrapText="1"/>
    </xf>
    <xf numFmtId="0" fontId="181" fillId="24" borderId="16" xfId="0" applyNumberFormat="1" applyFont="1" applyFill="1" applyBorder="1" applyAlignment="1">
      <alignment horizontal="center" vertical="center"/>
    </xf>
    <xf numFmtId="0" fontId="181" fillId="24" borderId="54" xfId="2" applyNumberFormat="1" applyFont="1" applyFill="1" applyBorder="1" applyAlignment="1">
      <alignment horizontal="left" vertical="center" wrapText="1"/>
    </xf>
    <xf numFmtId="0" fontId="180" fillId="24" borderId="56" xfId="0" applyNumberFormat="1" applyFont="1" applyFill="1" applyBorder="1"/>
    <xf numFmtId="0" fontId="180" fillId="24" borderId="16" xfId="968" applyNumberFormat="1" applyFont="1" applyFill="1" applyBorder="1" applyAlignment="1">
      <alignment horizontal="center" vertical="center" wrapText="1"/>
    </xf>
    <xf numFmtId="0" fontId="180" fillId="24" borderId="67" xfId="0" applyNumberFormat="1" applyFont="1" applyFill="1" applyBorder="1" applyAlignment="1">
      <alignment horizontal="left" vertical="center" wrapText="1"/>
    </xf>
    <xf numFmtId="0" fontId="215" fillId="24" borderId="56" xfId="0" applyNumberFormat="1" applyFont="1" applyFill="1" applyBorder="1" applyAlignment="1">
      <alignment horizontal="left" vertical="center"/>
    </xf>
    <xf numFmtId="0" fontId="215" fillId="24" borderId="56" xfId="586" applyNumberFormat="1" applyFont="1" applyFill="1" applyBorder="1" applyAlignment="1">
      <alignment horizontal="justify" vertical="center" wrapText="1"/>
    </xf>
    <xf numFmtId="0" fontId="180" fillId="24" borderId="16" xfId="0" applyNumberFormat="1" applyFont="1" applyFill="1" applyBorder="1" applyAlignment="1">
      <alignment horizontal="right" vertical="center"/>
    </xf>
    <xf numFmtId="0" fontId="215" fillId="24" borderId="56" xfId="998" applyNumberFormat="1" applyFont="1" applyFill="1" applyBorder="1" applyAlignment="1">
      <alignment horizontal="left" vertical="center" wrapText="1"/>
    </xf>
    <xf numFmtId="0" fontId="215" fillId="24" borderId="68" xfId="998" applyNumberFormat="1" applyFont="1" applyFill="1" applyBorder="1" applyAlignment="1">
      <alignment horizontal="left" vertical="center" wrapText="1"/>
    </xf>
    <xf numFmtId="0" fontId="184" fillId="24" borderId="16" xfId="0" applyNumberFormat="1" applyFont="1" applyFill="1" applyBorder="1" applyAlignment="1">
      <alignment horizontal="center" vertical="center"/>
    </xf>
    <xf numFmtId="0" fontId="184" fillId="24" borderId="56" xfId="0" applyNumberFormat="1" applyFont="1" applyFill="1" applyBorder="1" applyAlignment="1">
      <alignment vertical="center" wrapText="1"/>
    </xf>
    <xf numFmtId="0" fontId="177" fillId="24" borderId="0" xfId="0" applyNumberFormat="1" applyFont="1" applyFill="1" applyAlignment="1">
      <alignment vertical="center"/>
    </xf>
    <xf numFmtId="0" fontId="180" fillId="24" borderId="56" xfId="8" applyNumberFormat="1" applyFont="1" applyFill="1" applyBorder="1" applyAlignment="1">
      <alignment horizontal="left" vertical="center" wrapText="1"/>
    </xf>
    <xf numFmtId="0" fontId="215" fillId="24" borderId="56" xfId="994" applyNumberFormat="1" applyFont="1" applyFill="1" applyBorder="1" applyAlignment="1">
      <alignment horizontal="justify" vertical="center" wrapText="1"/>
    </xf>
    <xf numFmtId="0" fontId="215" fillId="24" borderId="56" xfId="0" applyNumberFormat="1" applyFont="1" applyFill="1" applyBorder="1" applyAlignment="1">
      <alignment horizontal="center" wrapText="1"/>
    </xf>
    <xf numFmtId="0" fontId="177" fillId="24" borderId="0" xfId="0" applyNumberFormat="1" applyFont="1" applyFill="1" applyBorder="1" applyAlignment="1">
      <alignment vertical="center"/>
    </xf>
    <xf numFmtId="0" fontId="184" fillId="24" borderId="56" xfId="0" applyNumberFormat="1" applyFont="1" applyFill="1" applyBorder="1" applyAlignment="1">
      <alignment vertical="center"/>
    </xf>
    <xf numFmtId="0" fontId="186" fillId="24" borderId="0" xfId="0" applyNumberFormat="1" applyFont="1" applyFill="1" applyAlignment="1">
      <alignment vertical="center"/>
    </xf>
    <xf numFmtId="0" fontId="186" fillId="24" borderId="0" xfId="0" applyNumberFormat="1" applyFont="1" applyFill="1" applyBorder="1" applyAlignment="1">
      <alignment vertical="center"/>
    </xf>
    <xf numFmtId="0" fontId="187" fillId="24" borderId="0" xfId="0" applyNumberFormat="1" applyFont="1" applyFill="1" applyBorder="1" applyAlignment="1">
      <alignment vertical="center"/>
    </xf>
    <xf numFmtId="0" fontId="187" fillId="24" borderId="0" xfId="0" applyNumberFormat="1" applyFont="1" applyFill="1" applyAlignment="1">
      <alignment vertical="center"/>
    </xf>
    <xf numFmtId="0" fontId="187" fillId="24" borderId="16" xfId="0" applyNumberFormat="1" applyFont="1" applyFill="1" applyBorder="1" applyAlignment="1">
      <alignment vertical="center"/>
    </xf>
    <xf numFmtId="0" fontId="187" fillId="24" borderId="3" xfId="0" applyNumberFormat="1" applyFont="1" applyFill="1" applyBorder="1" applyAlignment="1">
      <alignment vertical="center"/>
    </xf>
    <xf numFmtId="0" fontId="176" fillId="24" borderId="0" xfId="0" applyNumberFormat="1" applyFont="1" applyFill="1" applyAlignment="1">
      <alignment vertical="center"/>
    </xf>
    <xf numFmtId="0" fontId="176" fillId="24" borderId="54" xfId="2" applyNumberFormat="1" applyFont="1" applyFill="1" applyBorder="1" applyAlignment="1">
      <alignment horizontal="center" vertical="center" wrapText="1"/>
    </xf>
    <xf numFmtId="0" fontId="181" fillId="24" borderId="54" xfId="968" applyNumberFormat="1" applyFont="1" applyFill="1" applyBorder="1" applyAlignment="1">
      <alignment horizontal="center" vertical="center" wrapText="1"/>
    </xf>
    <xf numFmtId="0" fontId="182" fillId="24" borderId="54" xfId="2" applyNumberFormat="1" applyFont="1" applyFill="1" applyBorder="1" applyAlignment="1">
      <alignment horizontal="center" vertical="center" wrapText="1"/>
    </xf>
    <xf numFmtId="0" fontId="181" fillId="24" borderId="56" xfId="586" applyNumberFormat="1" applyFont="1" applyFill="1" applyBorder="1" applyAlignment="1">
      <alignment horizontal="justify" vertical="center"/>
    </xf>
    <xf numFmtId="0" fontId="181" fillId="24" borderId="56" xfId="586" applyNumberFormat="1" applyFont="1" applyFill="1" applyBorder="1" applyAlignment="1">
      <alignment horizontal="left" vertical="center" wrapText="1"/>
    </xf>
    <xf numFmtId="0" fontId="180" fillId="24" borderId="54" xfId="968" applyNumberFormat="1" applyFont="1" applyFill="1" applyBorder="1" applyAlignment="1">
      <alignment horizontal="center" vertical="center" wrapText="1"/>
    </xf>
    <xf numFmtId="0" fontId="187" fillId="24" borderId="54" xfId="2" applyNumberFormat="1" applyFont="1" applyFill="1" applyBorder="1" applyAlignment="1">
      <alignment horizontal="center" vertical="center" wrapText="1"/>
    </xf>
    <xf numFmtId="0" fontId="180" fillId="24" borderId="56" xfId="586" applyNumberFormat="1" applyFont="1" applyFill="1" applyBorder="1" applyAlignment="1">
      <alignment horizontal="left" vertical="center" wrapText="1"/>
    </xf>
    <xf numFmtId="0" fontId="180" fillId="24" borderId="69" xfId="586" applyNumberFormat="1" applyFont="1" applyFill="1" applyBorder="1" applyAlignment="1">
      <alignment horizontal="left" vertical="center" wrapText="1"/>
    </xf>
    <xf numFmtId="0" fontId="187" fillId="24" borderId="54" xfId="968" applyNumberFormat="1" applyFont="1" applyFill="1" applyBorder="1" applyAlignment="1">
      <alignment horizontal="center" vertical="center" wrapText="1"/>
    </xf>
    <xf numFmtId="0" fontId="190" fillId="24" borderId="0" xfId="0" applyNumberFormat="1" applyFont="1" applyFill="1" applyAlignment="1">
      <alignment vertical="center"/>
    </xf>
    <xf numFmtId="0" fontId="199" fillId="24" borderId="54" xfId="968" applyNumberFormat="1" applyFont="1" applyFill="1" applyBorder="1" applyAlignment="1">
      <alignment horizontal="center" vertical="center" wrapText="1"/>
    </xf>
    <xf numFmtId="0" fontId="199" fillId="24" borderId="56" xfId="968" applyNumberFormat="1" applyFont="1" applyFill="1" applyBorder="1" applyAlignment="1">
      <alignment horizontal="left" vertical="center" wrapText="1"/>
    </xf>
    <xf numFmtId="0" fontId="215" fillId="24" borderId="56" xfId="968" applyNumberFormat="1" applyFont="1" applyFill="1" applyBorder="1" applyAlignment="1">
      <alignment horizontal="left" vertical="center" wrapText="1"/>
    </xf>
    <xf numFmtId="0" fontId="180" fillId="24" borderId="56" xfId="968" applyNumberFormat="1" applyFont="1" applyFill="1" applyBorder="1" applyAlignment="1">
      <alignment horizontal="left" vertical="center" wrapText="1"/>
    </xf>
    <xf numFmtId="0" fontId="189" fillId="24" borderId="0" xfId="0" applyNumberFormat="1" applyFont="1" applyFill="1" applyAlignment="1">
      <alignment vertical="center"/>
    </xf>
    <xf numFmtId="0" fontId="192" fillId="24" borderId="54" xfId="968" applyNumberFormat="1" applyFont="1" applyFill="1" applyBorder="1" applyAlignment="1">
      <alignment horizontal="center" vertical="center" wrapText="1"/>
    </xf>
    <xf numFmtId="0" fontId="192" fillId="24" borderId="56" xfId="968" applyNumberFormat="1" applyFont="1" applyFill="1" applyBorder="1" applyAlignment="1">
      <alignment horizontal="left" vertical="center" wrapText="1"/>
    </xf>
    <xf numFmtId="0" fontId="187" fillId="24" borderId="56" xfId="968" applyNumberFormat="1" applyFont="1" applyFill="1" applyBorder="1" applyAlignment="1">
      <alignment horizontal="left" vertical="center" wrapText="1"/>
    </xf>
    <xf numFmtId="0" fontId="187" fillId="24" borderId="56" xfId="998" applyNumberFormat="1" applyFont="1" applyFill="1" applyBorder="1" applyAlignment="1">
      <alignment horizontal="left" vertical="center" wrapText="1"/>
    </xf>
    <xf numFmtId="0" fontId="175" fillId="24" borderId="54" xfId="968" applyNumberFormat="1" applyFont="1" applyFill="1" applyBorder="1" applyAlignment="1">
      <alignment horizontal="center" vertical="center" wrapText="1"/>
    </xf>
    <xf numFmtId="0" fontId="217" fillId="24" borderId="56" xfId="968" applyNumberFormat="1" applyFont="1" applyFill="1" applyBorder="1" applyAlignment="1">
      <alignment horizontal="left" vertical="center" wrapText="1"/>
    </xf>
    <xf numFmtId="0" fontId="175" fillId="24" borderId="16" xfId="0" applyNumberFormat="1" applyFont="1" applyFill="1" applyBorder="1" applyAlignment="1">
      <alignment horizontal="center" vertical="center"/>
    </xf>
    <xf numFmtId="0" fontId="175" fillId="24" borderId="54" xfId="0" applyNumberFormat="1" applyFont="1" applyFill="1" applyBorder="1" applyAlignment="1">
      <alignment horizontal="center" vertical="center"/>
    </xf>
    <xf numFmtId="0" fontId="184" fillId="24" borderId="54" xfId="0" applyNumberFormat="1" applyFont="1" applyFill="1" applyBorder="1" applyAlignment="1">
      <alignment horizontal="center" vertical="center"/>
    </xf>
    <xf numFmtId="0" fontId="180" fillId="24" borderId="56" xfId="994" applyNumberFormat="1" applyFont="1" applyFill="1" applyBorder="1" applyAlignment="1">
      <alignment horizontal="center" vertical="center" wrapText="1"/>
    </xf>
    <xf numFmtId="0" fontId="184" fillId="24" borderId="0" xfId="0" applyNumberFormat="1" applyFont="1" applyFill="1"/>
    <xf numFmtId="0" fontId="179" fillId="24" borderId="16" xfId="968" applyNumberFormat="1" applyFont="1" applyFill="1" applyBorder="1" applyAlignment="1">
      <alignment horizontal="center" vertical="center" wrapText="1"/>
    </xf>
    <xf numFmtId="0" fontId="179" fillId="24" borderId="56" xfId="968" applyNumberFormat="1" applyFont="1" applyFill="1" applyBorder="1" applyAlignment="1">
      <alignment horizontal="left" vertical="center" wrapText="1"/>
    </xf>
    <xf numFmtId="0" fontId="184" fillId="24" borderId="56" xfId="994" applyNumberFormat="1" applyFont="1" applyFill="1" applyBorder="1" applyAlignment="1">
      <alignment horizontal="justify" vertical="center" wrapText="1"/>
    </xf>
    <xf numFmtId="0" fontId="193" fillId="24" borderId="16" xfId="968" applyNumberFormat="1" applyFont="1" applyFill="1" applyBorder="1" applyAlignment="1">
      <alignment horizontal="center" vertical="center" wrapText="1"/>
    </xf>
    <xf numFmtId="0" fontId="193" fillId="24" borderId="56" xfId="968" applyNumberFormat="1" applyFont="1" applyFill="1" applyBorder="1" applyAlignment="1">
      <alignment horizontal="left" vertical="center" wrapText="1"/>
    </xf>
    <xf numFmtId="0" fontId="184" fillId="24" borderId="56" xfId="969" applyNumberFormat="1" applyFont="1" applyFill="1" applyBorder="1" applyAlignment="1">
      <alignment horizontal="left" vertical="center" wrapText="1"/>
    </xf>
    <xf numFmtId="0" fontId="179" fillId="24" borderId="56" xfId="994" applyNumberFormat="1" applyFont="1" applyFill="1" applyBorder="1" applyAlignment="1">
      <alignment horizontal="left" vertical="center" wrapText="1"/>
    </xf>
    <xf numFmtId="0" fontId="180" fillId="24" borderId="16" xfId="968" applyNumberFormat="1" applyFont="1" applyFill="1" applyBorder="1" applyAlignment="1">
      <alignment vertical="center" wrapText="1"/>
    </xf>
    <xf numFmtId="0" fontId="180" fillId="24" borderId="54" xfId="0" applyNumberFormat="1" applyFont="1" applyFill="1" applyBorder="1" applyAlignment="1">
      <alignment horizontal="center" vertical="center"/>
    </xf>
    <xf numFmtId="0" fontId="180" fillId="24" borderId="56" xfId="969" applyNumberFormat="1" applyFont="1" applyFill="1" applyBorder="1" applyAlignment="1">
      <alignment horizontal="left" vertical="center" wrapText="1"/>
    </xf>
    <xf numFmtId="0" fontId="215" fillId="24" borderId="56" xfId="969" applyNumberFormat="1" applyFont="1" applyFill="1" applyBorder="1" applyAlignment="1">
      <alignment horizontal="left" vertical="center" wrapText="1"/>
    </xf>
    <xf numFmtId="0" fontId="188" fillId="24" borderId="54" xfId="968" applyNumberFormat="1" applyFont="1" applyFill="1" applyBorder="1" applyAlignment="1">
      <alignment vertical="center" wrapText="1"/>
    </xf>
    <xf numFmtId="0" fontId="188" fillId="24" borderId="54" xfId="0" applyNumberFormat="1" applyFont="1" applyFill="1" applyBorder="1" applyAlignment="1">
      <alignment horizontal="center" vertical="center"/>
    </xf>
    <xf numFmtId="0" fontId="188" fillId="24" borderId="56" xfId="969" applyNumberFormat="1" applyFont="1" applyFill="1" applyBorder="1" applyAlignment="1">
      <alignment horizontal="left" vertical="center" wrapText="1"/>
    </xf>
    <xf numFmtId="0" fontId="180" fillId="24" borderId="56" xfId="998" applyNumberFormat="1" applyFont="1" applyFill="1" applyBorder="1" applyAlignment="1">
      <alignment horizontal="left" vertical="center" wrapText="1"/>
    </xf>
    <xf numFmtId="0" fontId="180" fillId="24" borderId="16" xfId="0" applyNumberFormat="1" applyFont="1" applyFill="1" applyBorder="1" applyAlignment="1">
      <alignment horizontal="center" vertical="center" wrapText="1"/>
    </xf>
    <xf numFmtId="0" fontId="180" fillId="24" borderId="16" xfId="2" applyNumberFormat="1" applyFont="1" applyFill="1" applyBorder="1" applyAlignment="1">
      <alignment horizontal="center" vertical="center" wrapText="1"/>
    </xf>
    <xf numFmtId="0" fontId="215" fillId="24" borderId="70" xfId="996" applyNumberFormat="1" applyFont="1" applyFill="1" applyBorder="1" applyAlignment="1">
      <alignment vertical="center" wrapText="1"/>
    </xf>
    <xf numFmtId="0" fontId="180" fillId="24" borderId="56" xfId="996" applyNumberFormat="1" applyFont="1" applyFill="1" applyBorder="1" applyAlignment="1">
      <alignment vertical="center" wrapText="1"/>
    </xf>
    <xf numFmtId="0" fontId="180" fillId="24" borderId="56" xfId="996" applyNumberFormat="1" applyFont="1" applyFill="1" applyBorder="1" applyAlignment="1">
      <alignment horizontal="left" vertical="center" wrapText="1"/>
    </xf>
    <xf numFmtId="0" fontId="180" fillId="24" borderId="1" xfId="0" applyNumberFormat="1" applyFont="1" applyFill="1" applyBorder="1" applyAlignment="1">
      <alignment horizontal="center" vertical="center"/>
    </xf>
    <xf numFmtId="0" fontId="215" fillId="24" borderId="72" xfId="996" applyNumberFormat="1" applyFont="1" applyFill="1" applyBorder="1" applyAlignment="1">
      <alignment vertical="center" wrapText="1"/>
    </xf>
    <xf numFmtId="0" fontId="180" fillId="24" borderId="4" xfId="996" applyNumberFormat="1" applyFont="1" applyFill="1" applyBorder="1" applyAlignment="1">
      <alignment vertical="center" wrapText="1"/>
    </xf>
    <xf numFmtId="0" fontId="215" fillId="24" borderId="4" xfId="2" applyNumberFormat="1" applyFont="1" applyFill="1" applyBorder="1" applyAlignment="1">
      <alignment horizontal="left" vertical="center" wrapText="1"/>
    </xf>
    <xf numFmtId="0" fontId="175" fillId="24" borderId="16" xfId="968" applyNumberFormat="1" applyFont="1" applyFill="1" applyBorder="1" applyAlignment="1">
      <alignment horizontal="left" vertical="center" wrapText="1"/>
    </xf>
    <xf numFmtId="0" fontId="215" fillId="24" borderId="4" xfId="994" applyNumberFormat="1" applyFont="1" applyFill="1" applyBorder="1" applyAlignment="1">
      <alignment vertical="center" wrapText="1"/>
    </xf>
    <xf numFmtId="0" fontId="180" fillId="24" borderId="4" xfId="0" applyNumberFormat="1" applyFont="1" applyFill="1" applyBorder="1" applyAlignment="1">
      <alignment horizontal="left" vertical="center" wrapText="1"/>
    </xf>
    <xf numFmtId="0" fontId="180" fillId="24" borderId="4" xfId="2" applyNumberFormat="1" applyFont="1" applyFill="1" applyBorder="1" applyAlignment="1">
      <alignment horizontal="left" vertical="center" wrapText="1"/>
    </xf>
    <xf numFmtId="0" fontId="175" fillId="24" borderId="54" xfId="2" applyNumberFormat="1" applyFont="1" applyFill="1" applyBorder="1" applyAlignment="1">
      <alignment horizontal="center" vertical="center" wrapText="1"/>
    </xf>
    <xf numFmtId="0" fontId="180" fillId="24" borderId="54" xfId="2" applyNumberFormat="1" applyFont="1" applyFill="1" applyBorder="1" applyAlignment="1">
      <alignment horizontal="center" vertical="center" wrapText="1"/>
    </xf>
    <xf numFmtId="0" fontId="180" fillId="24" borderId="4" xfId="0" applyNumberFormat="1" applyFont="1" applyFill="1" applyBorder="1" applyAlignment="1">
      <alignment horizontal="left" wrapText="1"/>
    </xf>
    <xf numFmtId="0" fontId="180" fillId="24" borderId="4" xfId="0" applyNumberFormat="1" applyFont="1" applyFill="1" applyBorder="1" applyAlignment="1">
      <alignment vertical="center" wrapText="1"/>
    </xf>
    <xf numFmtId="0" fontId="180" fillId="24" borderId="4" xfId="8" applyNumberFormat="1" applyFont="1" applyFill="1" applyBorder="1" applyAlignment="1">
      <alignment horizontal="left" vertical="center" wrapText="1"/>
    </xf>
    <xf numFmtId="0" fontId="215" fillId="24" borderId="4" xfId="8" applyNumberFormat="1" applyFont="1" applyFill="1" applyBorder="1" applyAlignment="1">
      <alignment horizontal="left" vertical="center" wrapText="1"/>
    </xf>
    <xf numFmtId="0" fontId="215" fillId="24" borderId="4" xfId="0" applyNumberFormat="1" applyFont="1" applyFill="1" applyBorder="1" applyAlignment="1">
      <alignment vertical="center" wrapText="1"/>
    </xf>
    <xf numFmtId="0" fontId="215" fillId="24" borderId="4" xfId="0" applyNumberFormat="1" applyFont="1" applyFill="1" applyBorder="1" applyAlignment="1">
      <alignment horizontal="left"/>
    </xf>
    <xf numFmtId="0" fontId="215" fillId="24" borderId="70" xfId="0" applyNumberFormat="1" applyFont="1" applyFill="1" applyBorder="1" applyAlignment="1">
      <alignment wrapText="1"/>
    </xf>
    <xf numFmtId="0" fontId="178" fillId="24" borderId="0" xfId="0" applyNumberFormat="1" applyFont="1" applyFill="1"/>
    <xf numFmtId="0" fontId="180" fillId="24" borderId="0" xfId="0" applyNumberFormat="1" applyFont="1" applyFill="1"/>
    <xf numFmtId="0" fontId="215" fillId="24" borderId="56" xfId="586" applyNumberFormat="1" applyFont="1" applyFill="1" applyBorder="1" applyAlignment="1">
      <alignment vertical="center" wrapText="1"/>
    </xf>
    <xf numFmtId="0" fontId="215" fillId="24" borderId="56" xfId="997" applyNumberFormat="1" applyFont="1" applyFill="1" applyBorder="1" applyAlignment="1">
      <alignment horizontal="left" vertical="center" wrapText="1"/>
    </xf>
    <xf numFmtId="0" fontId="185" fillId="24" borderId="0" xfId="0" applyNumberFormat="1" applyFont="1" applyFill="1" applyAlignment="1">
      <alignment vertical="center"/>
    </xf>
    <xf numFmtId="0" fontId="184" fillId="24" borderId="54" xfId="968" applyNumberFormat="1" applyFont="1" applyFill="1" applyBorder="1" applyAlignment="1">
      <alignment horizontal="center" vertical="center" wrapText="1"/>
    </xf>
    <xf numFmtId="0" fontId="184" fillId="24" borderId="56" xfId="586" applyNumberFormat="1" applyFont="1" applyFill="1" applyBorder="1" applyAlignment="1">
      <alignment horizontal="left" vertical="center" wrapText="1"/>
    </xf>
    <xf numFmtId="0" fontId="185" fillId="24" borderId="16" xfId="0" applyNumberFormat="1" applyFont="1" applyFill="1" applyBorder="1" applyAlignment="1">
      <alignment horizontal="center" vertical="center"/>
    </xf>
    <xf numFmtId="0" fontId="185" fillId="24" borderId="54" xfId="0" applyNumberFormat="1" applyFont="1" applyFill="1" applyBorder="1" applyAlignment="1">
      <alignment horizontal="center" vertical="center"/>
    </xf>
    <xf numFmtId="0" fontId="187" fillId="24" borderId="54" xfId="0" applyNumberFormat="1" applyFont="1" applyFill="1" applyBorder="1" applyAlignment="1">
      <alignment horizontal="center" vertical="center"/>
    </xf>
    <xf numFmtId="0" fontId="176" fillId="24" borderId="54" xfId="0" applyNumberFormat="1" applyFont="1" applyFill="1" applyBorder="1" applyAlignment="1">
      <alignment horizontal="center" vertical="center"/>
    </xf>
    <xf numFmtId="0" fontId="188" fillId="24" borderId="16" xfId="2" applyNumberFormat="1" applyFont="1" applyFill="1" applyBorder="1" applyAlignment="1">
      <alignment horizontal="center" vertical="center" wrapText="1"/>
    </xf>
    <xf numFmtId="0" fontId="188" fillId="24" borderId="54" xfId="2" applyNumberFormat="1" applyFont="1" applyFill="1" applyBorder="1" applyAlignment="1">
      <alignment horizontal="center" vertical="center" wrapText="1"/>
    </xf>
    <xf numFmtId="0" fontId="191" fillId="24" borderId="0" xfId="0" applyNumberFormat="1" applyFont="1" applyFill="1"/>
    <xf numFmtId="0" fontId="188" fillId="24" borderId="54" xfId="968" applyNumberFormat="1" applyFont="1" applyFill="1" applyBorder="1" applyAlignment="1">
      <alignment horizontal="center" vertical="center" wrapText="1"/>
    </xf>
    <xf numFmtId="0" fontId="185" fillId="24" borderId="16" xfId="968" applyNumberFormat="1" applyFont="1" applyFill="1" applyBorder="1" applyAlignment="1">
      <alignment horizontal="center" vertical="center" wrapText="1"/>
    </xf>
    <xf numFmtId="0" fontId="185" fillId="24" borderId="54" xfId="968" applyNumberFormat="1" applyFont="1" applyFill="1" applyBorder="1" applyAlignment="1">
      <alignment horizontal="center" vertical="center" wrapText="1"/>
    </xf>
    <xf numFmtId="0" fontId="177" fillId="24" borderId="54" xfId="2" applyNumberFormat="1" applyFont="1" applyFill="1" applyBorder="1" applyAlignment="1">
      <alignment horizontal="center" vertical="center" wrapText="1"/>
    </xf>
    <xf numFmtId="263" fontId="194" fillId="24" borderId="16" xfId="962" applyNumberFormat="1" applyFont="1" applyFill="1" applyBorder="1" applyAlignment="1" applyProtection="1">
      <alignment horizontal="right" vertical="center" wrapText="1"/>
    </xf>
    <xf numFmtId="263" fontId="192" fillId="24" borderId="16" xfId="962" applyNumberFormat="1" applyFont="1" applyFill="1" applyBorder="1" applyAlignment="1" applyProtection="1">
      <alignment horizontal="right" vertical="center" wrapText="1"/>
    </xf>
    <xf numFmtId="263" fontId="175" fillId="24" borderId="16" xfId="962" applyNumberFormat="1" applyFont="1" applyFill="1" applyBorder="1" applyAlignment="1">
      <alignment horizontal="right" vertical="center"/>
    </xf>
    <xf numFmtId="263" fontId="183" fillId="24" borderId="16" xfId="962" applyNumberFormat="1" applyFont="1" applyFill="1" applyBorder="1" applyAlignment="1">
      <alignment horizontal="right" vertical="center"/>
    </xf>
    <xf numFmtId="263" fontId="188" fillId="24" borderId="16" xfId="962" applyNumberFormat="1" applyFont="1" applyFill="1" applyBorder="1" applyAlignment="1" applyProtection="1">
      <alignment horizontal="right" vertical="center" wrapText="1"/>
    </xf>
    <xf numFmtId="263" fontId="188" fillId="24" borderId="16" xfId="962" applyNumberFormat="1" applyFont="1" applyFill="1" applyBorder="1" applyAlignment="1">
      <alignment horizontal="right" vertical="center"/>
    </xf>
    <xf numFmtId="263" fontId="173" fillId="24" borderId="16" xfId="962" applyNumberFormat="1" applyFont="1" applyFill="1" applyBorder="1" applyAlignment="1">
      <alignment horizontal="right" vertical="center"/>
    </xf>
    <xf numFmtId="263" fontId="180" fillId="24" borderId="16" xfId="962" applyNumberFormat="1" applyFont="1" applyFill="1" applyBorder="1" applyAlignment="1">
      <alignment horizontal="right" vertical="center"/>
    </xf>
    <xf numFmtId="263" fontId="42" fillId="24" borderId="16" xfId="962" applyNumberFormat="1" applyFont="1" applyFill="1" applyBorder="1" applyAlignment="1">
      <alignment horizontal="right" vertical="center"/>
    </xf>
    <xf numFmtId="263" fontId="180" fillId="24" borderId="16" xfId="962" applyNumberFormat="1" applyFont="1" applyFill="1" applyBorder="1" applyAlignment="1">
      <alignment horizontal="right" vertical="center" wrapText="1"/>
    </xf>
    <xf numFmtId="263" fontId="42" fillId="24" borderId="16" xfId="962" applyNumberFormat="1" applyFont="1" applyFill="1" applyBorder="1" applyAlignment="1">
      <alignment horizontal="right" vertical="center" wrapText="1"/>
    </xf>
    <xf numFmtId="263" fontId="187" fillId="24" borderId="16" xfId="962" applyNumberFormat="1" applyFont="1" applyFill="1" applyBorder="1" applyAlignment="1">
      <alignment horizontal="right" vertical="center"/>
    </xf>
    <xf numFmtId="263" fontId="202" fillId="24" borderId="16" xfId="962" applyNumberFormat="1" applyFont="1" applyFill="1" applyBorder="1" applyAlignment="1">
      <alignment horizontal="right" vertical="center"/>
    </xf>
    <xf numFmtId="263" fontId="184" fillId="24" borderId="16" xfId="962" applyNumberFormat="1" applyFont="1" applyFill="1" applyBorder="1" applyAlignment="1">
      <alignment horizontal="right" vertical="center" wrapText="1"/>
    </xf>
    <xf numFmtId="263" fontId="184" fillId="24" borderId="16" xfId="962" applyNumberFormat="1" applyFont="1" applyFill="1" applyBorder="1" applyAlignment="1">
      <alignment horizontal="right"/>
    </xf>
    <xf numFmtId="263" fontId="172" fillId="24" borderId="16" xfId="962" applyNumberFormat="1" applyFont="1" applyFill="1" applyBorder="1" applyAlignment="1">
      <alignment horizontal="right"/>
    </xf>
    <xf numFmtId="263" fontId="181" fillId="24" borderId="16" xfId="962" applyNumberFormat="1" applyFont="1" applyFill="1" applyBorder="1" applyAlignment="1">
      <alignment horizontal="right" vertical="center"/>
    </xf>
    <xf numFmtId="263" fontId="181" fillId="24" borderId="16" xfId="962" applyNumberFormat="1" applyFont="1" applyFill="1" applyBorder="1" applyAlignment="1">
      <alignment horizontal="right" vertical="center" wrapText="1"/>
    </xf>
    <xf numFmtId="263" fontId="175" fillId="24" borderId="16" xfId="962" applyNumberFormat="1" applyFont="1" applyFill="1" applyBorder="1" applyAlignment="1" applyProtection="1">
      <alignment horizontal="right" vertical="center" wrapText="1"/>
    </xf>
    <xf numFmtId="263" fontId="196" fillId="24" borderId="16" xfId="962" applyNumberFormat="1" applyFont="1" applyFill="1" applyBorder="1" applyAlignment="1">
      <alignment horizontal="right" vertical="center"/>
    </xf>
    <xf numFmtId="263" fontId="187" fillId="24" borderId="16" xfId="962" applyNumberFormat="1" applyFont="1" applyFill="1" applyBorder="1" applyAlignment="1">
      <alignment horizontal="right" vertical="center" wrapText="1"/>
    </xf>
    <xf numFmtId="263" fontId="186" fillId="24" borderId="16" xfId="962" applyNumberFormat="1" applyFont="1" applyFill="1" applyBorder="1" applyAlignment="1">
      <alignment horizontal="right" vertical="center" wrapText="1"/>
    </xf>
    <xf numFmtId="263" fontId="172" fillId="24" borderId="16" xfId="962" applyNumberFormat="1" applyFont="1" applyFill="1" applyBorder="1" applyAlignment="1">
      <alignment horizontal="right" vertical="center"/>
    </xf>
    <xf numFmtId="263" fontId="184" fillId="24" borderId="16" xfId="962" applyNumberFormat="1" applyFont="1" applyFill="1" applyBorder="1" applyAlignment="1">
      <alignment horizontal="right" vertical="center"/>
    </xf>
    <xf numFmtId="263" fontId="180" fillId="24" borderId="16" xfId="962" applyNumberFormat="1" applyFont="1" applyFill="1" applyBorder="1" applyAlignment="1">
      <alignment horizontal="right"/>
    </xf>
    <xf numFmtId="263" fontId="186" fillId="24" borderId="16" xfId="962" applyNumberFormat="1" applyFont="1" applyFill="1" applyBorder="1" applyAlignment="1">
      <alignment horizontal="right"/>
    </xf>
    <xf numFmtId="263" fontId="179" fillId="24" borderId="16" xfId="962" applyNumberFormat="1" applyFont="1" applyFill="1" applyBorder="1" applyAlignment="1">
      <alignment horizontal="right" vertical="center" wrapText="1"/>
    </xf>
    <xf numFmtId="263" fontId="180" fillId="24" borderId="16" xfId="962" applyNumberFormat="1" applyFont="1" applyFill="1" applyBorder="1" applyAlignment="1" applyProtection="1">
      <alignment horizontal="right" vertical="center" wrapText="1"/>
    </xf>
    <xf numFmtId="263" fontId="215" fillId="24" borderId="16" xfId="962" applyNumberFormat="1" applyFont="1" applyFill="1" applyBorder="1" applyAlignment="1" applyProtection="1">
      <alignment horizontal="right" vertical="center" wrapText="1"/>
    </xf>
    <xf numFmtId="263" fontId="215" fillId="24" borderId="16" xfId="962" applyNumberFormat="1" applyFont="1" applyFill="1" applyBorder="1" applyAlignment="1">
      <alignment horizontal="right" vertical="center" wrapText="1"/>
    </xf>
    <xf numFmtId="263" fontId="213" fillId="24" borderId="16" xfId="962" applyNumberFormat="1" applyFont="1" applyFill="1" applyBorder="1" applyAlignment="1">
      <alignment horizontal="right" vertical="center"/>
    </xf>
    <xf numFmtId="263" fontId="215" fillId="24" borderId="16" xfId="962" applyNumberFormat="1" applyFont="1" applyFill="1" applyBorder="1" applyAlignment="1">
      <alignment horizontal="right" vertical="center"/>
    </xf>
    <xf numFmtId="263" fontId="181" fillId="24" borderId="16" xfId="962" applyNumberFormat="1" applyFont="1" applyFill="1" applyBorder="1" applyAlignment="1" applyProtection="1">
      <alignment horizontal="right" vertical="center" wrapText="1"/>
    </xf>
    <xf numFmtId="263" fontId="181" fillId="24" borderId="16" xfId="962" applyNumberFormat="1" applyFont="1" applyFill="1" applyBorder="1" applyAlignment="1">
      <alignment horizontal="right"/>
    </xf>
    <xf numFmtId="263" fontId="215" fillId="24" borderId="16" xfId="962" applyNumberFormat="1" applyFont="1" applyFill="1" applyBorder="1" applyAlignment="1">
      <alignment horizontal="right"/>
    </xf>
    <xf numFmtId="263" fontId="178" fillId="24" borderId="16" xfId="962" applyNumberFormat="1" applyFont="1" applyFill="1" applyBorder="1" applyAlignment="1">
      <alignment horizontal="right" vertical="center"/>
    </xf>
    <xf numFmtId="263" fontId="179" fillId="24" borderId="16" xfId="962" applyNumberFormat="1" applyFont="1" applyFill="1" applyBorder="1" applyAlignment="1">
      <alignment horizontal="right" vertical="center"/>
    </xf>
    <xf numFmtId="263" fontId="187" fillId="24" borderId="16" xfId="962" applyNumberFormat="1" applyFont="1" applyFill="1" applyBorder="1" applyAlignment="1">
      <alignment horizontal="right" wrapText="1"/>
    </xf>
    <xf numFmtId="263" fontId="180" fillId="24" borderId="16" xfId="962" applyNumberFormat="1" applyFont="1" applyFill="1" applyBorder="1" applyAlignment="1">
      <alignment horizontal="right" wrapText="1"/>
    </xf>
    <xf numFmtId="263" fontId="186" fillId="24" borderId="16" xfId="962" applyNumberFormat="1" applyFont="1" applyFill="1" applyBorder="1" applyAlignment="1">
      <alignment horizontal="right" vertical="center"/>
    </xf>
    <xf numFmtId="263" fontId="192" fillId="24" borderId="16" xfId="962" applyNumberFormat="1" applyFont="1" applyFill="1" applyBorder="1" applyAlignment="1">
      <alignment horizontal="right" vertical="center"/>
    </xf>
    <xf numFmtId="263" fontId="194" fillId="24" borderId="16" xfId="962" applyNumberFormat="1" applyFont="1" applyFill="1" applyBorder="1" applyAlignment="1">
      <alignment horizontal="right" vertical="center"/>
    </xf>
    <xf numFmtId="263" fontId="199" fillId="24" borderId="16" xfId="962" applyNumberFormat="1" applyFont="1" applyFill="1" applyBorder="1" applyAlignment="1">
      <alignment horizontal="right" vertical="center"/>
    </xf>
    <xf numFmtId="263" fontId="204" fillId="24" borderId="16" xfId="962" applyNumberFormat="1" applyFont="1" applyFill="1" applyBorder="1" applyAlignment="1">
      <alignment horizontal="right" vertical="center"/>
    </xf>
    <xf numFmtId="263" fontId="193" fillId="24" borderId="16" xfId="962" applyNumberFormat="1" applyFont="1" applyFill="1" applyBorder="1" applyAlignment="1">
      <alignment horizontal="right" vertical="center"/>
    </xf>
    <xf numFmtId="263" fontId="195" fillId="24" borderId="16" xfId="962" applyNumberFormat="1" applyFont="1" applyFill="1" applyBorder="1" applyAlignment="1">
      <alignment horizontal="right" vertical="center"/>
    </xf>
    <xf numFmtId="263" fontId="42" fillId="24" borderId="16" xfId="962" applyNumberFormat="1" applyFont="1" applyFill="1" applyBorder="1" applyAlignment="1">
      <alignment horizontal="right"/>
    </xf>
    <xf numFmtId="263" fontId="187" fillId="24" borderId="16" xfId="962" applyNumberFormat="1" applyFont="1" applyFill="1" applyBorder="1" applyAlignment="1">
      <alignment horizontal="right"/>
    </xf>
    <xf numFmtId="263" fontId="184" fillId="24" borderId="16" xfId="962" applyNumberFormat="1" applyFont="1" applyFill="1" applyBorder="1" applyAlignment="1" applyProtection="1">
      <alignment horizontal="right" vertical="center" wrapText="1"/>
    </xf>
    <xf numFmtId="263" fontId="185" fillId="24" borderId="16" xfId="962" applyNumberFormat="1" applyFont="1" applyFill="1" applyBorder="1" applyAlignment="1">
      <alignment horizontal="right" vertical="center"/>
    </xf>
    <xf numFmtId="263" fontId="200" fillId="24" borderId="16" xfId="962" applyNumberFormat="1" applyFont="1" applyFill="1" applyBorder="1" applyAlignment="1">
      <alignment horizontal="right" vertical="center"/>
    </xf>
    <xf numFmtId="263" fontId="177" fillId="24" borderId="16" xfId="962" applyNumberFormat="1" applyFont="1" applyFill="1" applyBorder="1" applyAlignment="1">
      <alignment horizontal="right" vertical="center"/>
    </xf>
    <xf numFmtId="263" fontId="205" fillId="24" borderId="16" xfId="962" applyNumberFormat="1" applyFont="1" applyFill="1" applyBorder="1" applyAlignment="1">
      <alignment horizontal="right" vertical="center"/>
    </xf>
    <xf numFmtId="0" fontId="186" fillId="24" borderId="12" xfId="2" applyNumberFormat="1" applyFont="1" applyFill="1" applyBorder="1" applyAlignment="1">
      <alignment horizontal="left" vertical="center" wrapText="1"/>
    </xf>
    <xf numFmtId="0" fontId="194" fillId="24" borderId="57" xfId="2" applyNumberFormat="1" applyFont="1" applyFill="1" applyBorder="1" applyAlignment="1">
      <alignment horizontal="left" vertical="center" wrapText="1"/>
    </xf>
    <xf numFmtId="0" fontId="175" fillId="24" borderId="56" xfId="2" applyNumberFormat="1" applyFont="1" applyFill="1" applyBorder="1" applyAlignment="1">
      <alignment horizontal="left" vertical="center" wrapText="1"/>
    </xf>
    <xf numFmtId="0" fontId="180" fillId="24" borderId="56" xfId="0" applyNumberFormat="1" applyFont="1" applyFill="1" applyBorder="1" applyAlignment="1">
      <alignment horizontal="left" wrapText="1"/>
    </xf>
    <xf numFmtId="0" fontId="184" fillId="24" borderId="56" xfId="994" applyNumberFormat="1" applyFont="1" applyFill="1" applyBorder="1" applyAlignment="1">
      <alignment horizontal="left" vertical="center"/>
    </xf>
    <xf numFmtId="0" fontId="215" fillId="24" borderId="56" xfId="994" applyNumberFormat="1" applyFont="1" applyFill="1" applyBorder="1" applyAlignment="1">
      <alignment horizontal="left" vertical="center"/>
    </xf>
    <xf numFmtId="0" fontId="188" fillId="24" borderId="56" xfId="0" applyNumberFormat="1" applyFont="1" applyFill="1" applyBorder="1" applyAlignment="1">
      <alignment horizontal="left" vertical="center" wrapText="1"/>
    </xf>
    <xf numFmtId="0" fontId="181" fillId="24" borderId="56" xfId="994" applyNumberFormat="1" applyFont="1" applyFill="1" applyBorder="1" applyAlignment="1">
      <alignment horizontal="left" vertical="center" wrapText="1"/>
    </xf>
    <xf numFmtId="0" fontId="175" fillId="24" borderId="56" xfId="994" applyNumberFormat="1" applyFont="1" applyFill="1" applyBorder="1" applyAlignment="1">
      <alignment horizontal="left" vertical="center" wrapText="1"/>
    </xf>
    <xf numFmtId="0" fontId="184" fillId="24" borderId="56" xfId="0" applyNumberFormat="1" applyFont="1" applyFill="1" applyBorder="1" applyAlignment="1">
      <alignment horizontal="left" vertical="center"/>
    </xf>
    <xf numFmtId="0" fontId="176" fillId="24" borderId="56" xfId="2" applyNumberFormat="1" applyFont="1" applyFill="1" applyBorder="1" applyAlignment="1">
      <alignment horizontal="left" vertical="center" wrapText="1"/>
    </xf>
    <xf numFmtId="0" fontId="184" fillId="24" borderId="56" xfId="994" quotePrefix="1" applyNumberFormat="1" applyFont="1" applyFill="1" applyBorder="1" applyAlignment="1">
      <alignment horizontal="left" vertical="center" wrapText="1"/>
    </xf>
    <xf numFmtId="0" fontId="197" fillId="24" borderId="56" xfId="0" applyNumberFormat="1" applyFont="1" applyFill="1" applyBorder="1" applyAlignment="1">
      <alignment horizontal="left" vertical="center" wrapText="1"/>
    </xf>
    <xf numFmtId="0" fontId="215" fillId="24" borderId="56" xfId="968" applyNumberFormat="1" applyFont="1" applyFill="1" applyBorder="1" applyAlignment="1">
      <alignment horizontal="left" wrapText="1"/>
    </xf>
    <xf numFmtId="0" fontId="180" fillId="24" borderId="71" xfId="996" applyNumberFormat="1" applyFont="1" applyFill="1" applyBorder="1" applyAlignment="1">
      <alignment horizontal="left" vertical="center" wrapText="1"/>
    </xf>
    <xf numFmtId="0" fontId="180" fillId="24" borderId="4" xfId="0" applyNumberFormat="1" applyFont="1" applyFill="1" applyBorder="1" applyAlignment="1">
      <alignment horizontal="left" vertical="center"/>
    </xf>
    <xf numFmtId="0" fontId="175" fillId="24" borderId="4" xfId="996" applyNumberFormat="1" applyFont="1" applyFill="1" applyBorder="1" applyAlignment="1">
      <alignment horizontal="left" vertical="center" wrapText="1"/>
    </xf>
    <xf numFmtId="0" fontId="180" fillId="24" borderId="4" xfId="994" applyNumberFormat="1" applyFont="1" applyFill="1" applyBorder="1" applyAlignment="1">
      <alignment horizontal="left" vertical="center" wrapText="1"/>
    </xf>
    <xf numFmtId="0" fontId="180" fillId="24" borderId="4" xfId="996" applyNumberFormat="1" applyFont="1" applyFill="1" applyBorder="1" applyAlignment="1">
      <alignment horizontal="left" vertical="center" wrapText="1"/>
    </xf>
    <xf numFmtId="0" fontId="175" fillId="24" borderId="4" xfId="2" applyNumberFormat="1" applyFont="1" applyFill="1" applyBorder="1" applyAlignment="1">
      <alignment horizontal="left" vertical="center" wrapText="1"/>
    </xf>
    <xf numFmtId="0" fontId="180" fillId="24" borderId="4" xfId="0" applyNumberFormat="1" applyFont="1" applyFill="1" applyBorder="1" applyAlignment="1">
      <alignment horizontal="left"/>
    </xf>
    <xf numFmtId="0" fontId="175" fillId="24" borderId="4" xfId="0" applyNumberFormat="1" applyFont="1" applyFill="1" applyBorder="1" applyAlignment="1">
      <alignment horizontal="left" vertical="center" wrapText="1"/>
    </xf>
    <xf numFmtId="0" fontId="215" fillId="24" borderId="4" xfId="0" applyNumberFormat="1" applyFont="1" applyFill="1" applyBorder="1" applyAlignment="1">
      <alignment horizontal="left" wrapText="1"/>
    </xf>
    <xf numFmtId="0" fontId="215" fillId="24" borderId="4" xfId="0" applyNumberFormat="1" applyFont="1" applyFill="1" applyBorder="1" applyAlignment="1">
      <alignment horizontal="left" vertical="center" wrapText="1"/>
    </xf>
    <xf numFmtId="0" fontId="175" fillId="24" borderId="56" xfId="0" applyNumberFormat="1" applyFont="1" applyFill="1" applyBorder="1" applyAlignment="1">
      <alignment horizontal="left" vertical="center" wrapText="1"/>
    </xf>
    <xf numFmtId="0" fontId="180" fillId="24" borderId="56" xfId="969" quotePrefix="1" applyNumberFormat="1" applyFont="1" applyFill="1" applyBorder="1" applyAlignment="1">
      <alignment horizontal="left" vertical="center"/>
    </xf>
    <xf numFmtId="0" fontId="215" fillId="24" borderId="56" xfId="0" applyNumberFormat="1" applyFont="1" applyFill="1" applyBorder="1" applyAlignment="1">
      <alignment horizontal="left" wrapText="1"/>
    </xf>
    <xf numFmtId="0" fontId="178" fillId="24" borderId="56" xfId="0" applyNumberFormat="1" applyFont="1" applyFill="1" applyBorder="1" applyAlignment="1">
      <alignment horizontal="left"/>
    </xf>
    <xf numFmtId="0" fontId="185" fillId="24" borderId="56" xfId="0" applyNumberFormat="1" applyFont="1" applyFill="1" applyBorder="1" applyAlignment="1">
      <alignment horizontal="left" vertical="center" wrapText="1"/>
    </xf>
    <xf numFmtId="0" fontId="184" fillId="24" borderId="56" xfId="0" applyNumberFormat="1" applyFont="1" applyFill="1" applyBorder="1" applyAlignment="1">
      <alignment horizontal="left" wrapText="1"/>
    </xf>
    <xf numFmtId="0" fontId="181" fillId="24" borderId="9" xfId="4" applyNumberFormat="1" applyFont="1" applyFill="1" applyBorder="1" applyAlignment="1">
      <alignment horizontal="center" vertical="center" wrapText="1"/>
    </xf>
    <xf numFmtId="0" fontId="181" fillId="24" borderId="1" xfId="4" applyNumberFormat="1" applyFont="1" applyFill="1" applyBorder="1" applyAlignment="1">
      <alignment horizontal="center" vertical="center" wrapText="1"/>
    </xf>
    <xf numFmtId="0" fontId="184" fillId="24" borderId="0" xfId="0" applyNumberFormat="1" applyFont="1" applyFill="1" applyAlignment="1">
      <alignment horizontal="left" vertical="center" wrapText="1"/>
    </xf>
    <xf numFmtId="0" fontId="241" fillId="0" borderId="0" xfId="0" applyFont="1"/>
    <xf numFmtId="263" fontId="42" fillId="24" borderId="16" xfId="962" applyNumberFormat="1" applyFont="1" applyFill="1" applyBorder="1" applyAlignment="1" applyProtection="1">
      <alignment horizontal="right" vertical="center" wrapText="1"/>
    </xf>
    <xf numFmtId="0" fontId="187" fillId="24" borderId="56" xfId="2" applyNumberFormat="1" applyFont="1" applyFill="1" applyBorder="1" applyAlignment="1">
      <alignment horizontal="left" vertical="center" wrapText="1"/>
    </xf>
    <xf numFmtId="0" fontId="180" fillId="24" borderId="54" xfId="968" applyNumberFormat="1" applyFont="1" applyFill="1" applyBorder="1" applyAlignment="1">
      <alignment vertical="center" wrapText="1"/>
    </xf>
    <xf numFmtId="0" fontId="180" fillId="24" borderId="16" xfId="968" applyNumberFormat="1" applyFont="1" applyFill="1" applyBorder="1" applyAlignment="1">
      <alignment horizontal="left" vertical="center" wrapText="1"/>
    </xf>
    <xf numFmtId="0" fontId="187" fillId="24" borderId="16" xfId="0" applyNumberFormat="1" applyFont="1" applyFill="1" applyBorder="1" applyAlignment="1">
      <alignment horizontal="center" vertical="center"/>
    </xf>
    <xf numFmtId="0" fontId="187" fillId="24" borderId="56" xfId="0" applyNumberFormat="1" applyFont="1" applyFill="1" applyBorder="1" applyAlignment="1">
      <alignment horizontal="left" vertical="center" wrapText="1"/>
    </xf>
    <xf numFmtId="0" fontId="187" fillId="24" borderId="16" xfId="968" applyNumberFormat="1" applyFont="1" applyFill="1" applyBorder="1" applyAlignment="1">
      <alignment horizontal="center" vertical="center" wrapText="1"/>
    </xf>
    <xf numFmtId="0" fontId="196" fillId="54" borderId="3" xfId="2" applyNumberFormat="1" applyFont="1" applyFill="1" applyBorder="1" applyAlignment="1">
      <alignment vertical="center" wrapText="1"/>
    </xf>
    <xf numFmtId="0" fontId="223" fillId="54" borderId="54" xfId="0" applyFont="1" applyFill="1" applyBorder="1" applyAlignment="1">
      <alignment vertical="center" wrapText="1"/>
    </xf>
    <xf numFmtId="263" fontId="196" fillId="54" borderId="16" xfId="962" applyNumberFormat="1" applyFont="1" applyFill="1" applyBorder="1" applyAlignment="1" applyProtection="1">
      <alignment horizontal="right" vertical="center" wrapText="1"/>
    </xf>
    <xf numFmtId="0" fontId="223" fillId="0" borderId="4" xfId="0" applyFont="1" applyBorder="1" applyAlignment="1">
      <alignment horizontal="center" vertical="center"/>
    </xf>
    <xf numFmtId="263" fontId="223" fillId="0" borderId="16" xfId="962" applyNumberFormat="1" applyFont="1" applyBorder="1" applyAlignment="1">
      <alignment vertical="center" wrapText="1"/>
    </xf>
    <xf numFmtId="263" fontId="187" fillId="24" borderId="1" xfId="962" applyNumberFormat="1" applyFont="1" applyFill="1" applyBorder="1" applyAlignment="1">
      <alignment horizontal="right" vertical="center"/>
    </xf>
    <xf numFmtId="263" fontId="196" fillId="52" borderId="16" xfId="962" applyNumberFormat="1" applyFont="1" applyFill="1" applyBorder="1" applyAlignment="1" applyProtection="1">
      <alignment horizontal="right" vertical="center" wrapText="1"/>
    </xf>
    <xf numFmtId="263" fontId="187" fillId="24" borderId="1" xfId="0" applyNumberFormat="1" applyFont="1" applyFill="1" applyBorder="1" applyAlignment="1">
      <alignment horizontal="right" vertical="center"/>
    </xf>
    <xf numFmtId="0" fontId="181" fillId="24" borderId="1" xfId="3" applyNumberFormat="1" applyFont="1" applyFill="1" applyBorder="1" applyAlignment="1">
      <alignment horizontal="center" vertical="center" wrapText="1"/>
    </xf>
    <xf numFmtId="0" fontId="196" fillId="24" borderId="1" xfId="3" applyNumberFormat="1" applyFont="1" applyFill="1" applyBorder="1" applyAlignment="1">
      <alignment horizontal="center" vertical="center" wrapText="1"/>
    </xf>
    <xf numFmtId="0" fontId="196" fillId="24" borderId="6" xfId="3" applyNumberFormat="1" applyFont="1" applyFill="1" applyBorder="1" applyAlignment="1">
      <alignment horizontal="center" vertical="center" wrapText="1"/>
    </xf>
    <xf numFmtId="0" fontId="196" fillId="24" borderId="11" xfId="3" applyNumberFormat="1" applyFont="1" applyFill="1" applyBorder="1" applyAlignment="1">
      <alignment horizontal="center" vertical="center" wrapText="1"/>
    </xf>
    <xf numFmtId="263" fontId="242" fillId="24" borderId="1" xfId="962" applyNumberFormat="1" applyFont="1" applyFill="1" applyBorder="1" applyAlignment="1">
      <alignment horizontal="right" vertical="center" wrapText="1"/>
    </xf>
    <xf numFmtId="263" fontId="245" fillId="24" borderId="1" xfId="962" applyNumberFormat="1" applyFont="1" applyFill="1" applyBorder="1" applyAlignment="1">
      <alignment horizontal="right" vertical="center" wrapText="1"/>
    </xf>
    <xf numFmtId="263" fontId="42" fillId="52" borderId="16" xfId="962" applyNumberFormat="1" applyFont="1" applyFill="1" applyBorder="1" applyAlignment="1" applyProtection="1">
      <alignment horizontal="right" vertical="center" wrapText="1"/>
    </xf>
    <xf numFmtId="0" fontId="246" fillId="0" borderId="0" xfId="0" applyFont="1"/>
    <xf numFmtId="263" fontId="244" fillId="24" borderId="1" xfId="962" applyNumberFormat="1" applyFont="1" applyFill="1" applyBorder="1" applyAlignment="1">
      <alignment horizontal="right" vertical="center" wrapText="1"/>
    </xf>
    <xf numFmtId="263" fontId="247" fillId="24" borderId="1" xfId="962" applyNumberFormat="1" applyFont="1" applyFill="1" applyBorder="1" applyAlignment="1">
      <alignment horizontal="right" vertical="center" wrapText="1"/>
    </xf>
    <xf numFmtId="263" fontId="182" fillId="24" borderId="1" xfId="962" applyNumberFormat="1" applyFont="1" applyFill="1" applyBorder="1" applyAlignment="1">
      <alignment horizontal="right" vertical="center"/>
    </xf>
    <xf numFmtId="0" fontId="223" fillId="59" borderId="4" xfId="0" applyFont="1" applyFill="1" applyBorder="1" applyAlignment="1">
      <alignment horizontal="center" vertical="center"/>
    </xf>
    <xf numFmtId="0" fontId="246" fillId="59" borderId="0" xfId="0" applyFont="1" applyFill="1"/>
    <xf numFmtId="263" fontId="223" fillId="59" borderId="16" xfId="962" applyNumberFormat="1" applyFont="1" applyFill="1" applyBorder="1" applyAlignment="1">
      <alignment vertical="center" wrapText="1"/>
    </xf>
    <xf numFmtId="263" fontId="196" fillId="59" borderId="16" xfId="962" applyNumberFormat="1" applyFont="1" applyFill="1" applyBorder="1" applyAlignment="1" applyProtection="1">
      <alignment horizontal="right" vertical="center" wrapText="1"/>
    </xf>
    <xf numFmtId="0" fontId="223" fillId="60" borderId="54" xfId="0" applyFont="1" applyFill="1" applyBorder="1" applyAlignment="1">
      <alignment horizontal="center" vertical="center"/>
    </xf>
    <xf numFmtId="0" fontId="241" fillId="60" borderId="0" xfId="0" applyFont="1" applyFill="1"/>
    <xf numFmtId="263" fontId="223" fillId="60" borderId="54" xfId="962" applyNumberFormat="1" applyFont="1" applyFill="1" applyBorder="1" applyAlignment="1">
      <alignment vertical="center" wrapText="1"/>
    </xf>
    <xf numFmtId="263" fontId="196" fillId="60" borderId="16" xfId="962" applyNumberFormat="1" applyFont="1" applyFill="1" applyBorder="1" applyAlignment="1" applyProtection="1">
      <alignment horizontal="right" vertical="center" wrapText="1"/>
    </xf>
    <xf numFmtId="263" fontId="242" fillId="60" borderId="1" xfId="962" applyNumberFormat="1" applyFont="1" applyFill="1" applyBorder="1" applyAlignment="1">
      <alignment horizontal="right" vertical="center" wrapText="1"/>
    </xf>
    <xf numFmtId="263" fontId="245" fillId="60" borderId="1" xfId="962" applyNumberFormat="1" applyFont="1" applyFill="1" applyBorder="1" applyAlignment="1">
      <alignment horizontal="right" vertical="center" wrapText="1"/>
    </xf>
    <xf numFmtId="263" fontId="187" fillId="60" borderId="1" xfId="962" applyNumberFormat="1" applyFont="1" applyFill="1" applyBorder="1" applyAlignment="1">
      <alignment horizontal="right" vertical="center"/>
    </xf>
    <xf numFmtId="0" fontId="247" fillId="54" borderId="4" xfId="2" applyNumberFormat="1" applyFont="1" applyFill="1" applyBorder="1" applyAlignment="1">
      <alignment horizontal="center" vertical="center" wrapText="1"/>
    </xf>
    <xf numFmtId="263" fontId="248" fillId="59" borderId="16" xfId="962" applyNumberFormat="1" applyFont="1" applyFill="1" applyBorder="1" applyAlignment="1" applyProtection="1">
      <alignment horizontal="right" vertical="center" wrapText="1"/>
    </xf>
    <xf numFmtId="0" fontId="241" fillId="52" borderId="0" xfId="0" applyFont="1" applyFill="1"/>
    <xf numFmtId="0" fontId="181" fillId="52" borderId="1" xfId="3" applyNumberFormat="1" applyFont="1" applyFill="1" applyBorder="1" applyAlignment="1">
      <alignment horizontal="center" vertical="center" wrapText="1"/>
    </xf>
    <xf numFmtId="0" fontId="196" fillId="52" borderId="1" xfId="3" applyNumberFormat="1" applyFont="1" applyFill="1" applyBorder="1" applyAlignment="1">
      <alignment horizontal="center" vertical="center" wrapText="1"/>
    </xf>
    <xf numFmtId="0" fontId="196" fillId="52" borderId="6" xfId="3" applyNumberFormat="1" applyFont="1" applyFill="1" applyBorder="1" applyAlignment="1">
      <alignment horizontal="center" vertical="center" wrapText="1"/>
    </xf>
    <xf numFmtId="0" fontId="196" fillId="52" borderId="11" xfId="3" applyNumberFormat="1" applyFont="1" applyFill="1" applyBorder="1" applyAlignment="1">
      <alignment horizontal="center" vertical="center" wrapText="1"/>
    </xf>
    <xf numFmtId="0" fontId="181" fillId="52" borderId="1" xfId="0" applyNumberFormat="1" applyFont="1" applyFill="1" applyBorder="1" applyAlignment="1">
      <alignment horizontal="right" vertical="center"/>
    </xf>
    <xf numFmtId="0" fontId="181" fillId="52" borderId="9" xfId="4" applyNumberFormat="1" applyFont="1" applyFill="1" applyBorder="1" applyAlignment="1">
      <alignment horizontal="center" vertical="center" wrapText="1"/>
    </xf>
    <xf numFmtId="0" fontId="181" fillId="52" borderId="1" xfId="4" applyNumberFormat="1" applyFont="1" applyFill="1" applyBorder="1" applyAlignment="1">
      <alignment horizontal="center" vertical="center" wrapText="1"/>
    </xf>
    <xf numFmtId="0" fontId="187" fillId="52" borderId="1" xfId="3" applyNumberFormat="1" applyFont="1" applyFill="1" applyBorder="1" applyAlignment="1">
      <alignment horizontal="right" vertical="center" wrapText="1"/>
    </xf>
    <xf numFmtId="0" fontId="202" fillId="52" borderId="1" xfId="3" applyNumberFormat="1" applyFont="1" applyFill="1" applyBorder="1" applyAlignment="1">
      <alignment horizontal="right" vertical="center" wrapText="1"/>
    </xf>
    <xf numFmtId="0" fontId="187" fillId="52" borderId="1" xfId="0" applyNumberFormat="1" applyFont="1" applyFill="1" applyBorder="1" applyAlignment="1">
      <alignment horizontal="right" vertical="center"/>
    </xf>
    <xf numFmtId="0" fontId="187" fillId="52" borderId="9" xfId="4" applyNumberFormat="1" applyFont="1" applyFill="1" applyBorder="1" applyAlignment="1">
      <alignment horizontal="right" vertical="center" wrapText="1"/>
    </xf>
    <xf numFmtId="0" fontId="187" fillId="52" borderId="1" xfId="4" applyNumberFormat="1" applyFont="1" applyFill="1" applyBorder="1" applyAlignment="1">
      <alignment horizontal="right" vertical="center" wrapText="1"/>
    </xf>
    <xf numFmtId="0" fontId="247" fillId="52" borderId="4" xfId="2" applyNumberFormat="1" applyFont="1" applyFill="1" applyBorder="1" applyAlignment="1">
      <alignment horizontal="center" vertical="center" wrapText="1"/>
    </xf>
    <xf numFmtId="0" fontId="196" fillId="52" borderId="3" xfId="2" applyNumberFormat="1" applyFont="1" applyFill="1" applyBorder="1" applyAlignment="1">
      <alignment vertical="center" wrapText="1"/>
    </xf>
    <xf numFmtId="0" fontId="180" fillId="52" borderId="16" xfId="2" applyNumberFormat="1" applyFont="1" applyFill="1" applyBorder="1" applyAlignment="1">
      <alignment horizontal="left" vertical="center" wrapText="1"/>
    </xf>
    <xf numFmtId="0" fontId="180" fillId="52" borderId="54" xfId="2" applyNumberFormat="1" applyFont="1" applyFill="1" applyBorder="1" applyAlignment="1">
      <alignment horizontal="left" vertical="center" wrapText="1"/>
    </xf>
    <xf numFmtId="0" fontId="180" fillId="52" borderId="56" xfId="2" applyNumberFormat="1" applyFont="1" applyFill="1" applyBorder="1" applyAlignment="1">
      <alignment horizontal="left" vertical="center" wrapText="1"/>
    </xf>
    <xf numFmtId="0" fontId="180" fillId="52" borderId="16" xfId="2" applyNumberFormat="1" applyFont="1" applyFill="1" applyBorder="1" applyAlignment="1">
      <alignment horizontal="center" vertical="center" wrapText="1"/>
    </xf>
    <xf numFmtId="0" fontId="180" fillId="52" borderId="16" xfId="0" applyNumberFormat="1" applyFont="1" applyFill="1" applyBorder="1" applyAlignment="1">
      <alignment horizontal="center" vertical="center"/>
    </xf>
    <xf numFmtId="0" fontId="180" fillId="52" borderId="16" xfId="968" applyNumberFormat="1" applyFont="1" applyFill="1" applyBorder="1" applyAlignment="1">
      <alignment horizontal="center" vertical="center" wrapText="1"/>
    </xf>
    <xf numFmtId="0" fontId="187" fillId="52" borderId="54" xfId="2" applyNumberFormat="1" applyFont="1" applyFill="1" applyBorder="1" applyAlignment="1">
      <alignment horizontal="center" vertical="center" wrapText="1"/>
    </xf>
    <xf numFmtId="0" fontId="187" fillId="52" borderId="56" xfId="2" applyNumberFormat="1" applyFont="1" applyFill="1" applyBorder="1" applyAlignment="1">
      <alignment horizontal="left" vertical="center" wrapText="1"/>
    </xf>
    <xf numFmtId="0" fontId="180" fillId="52" borderId="54" xfId="968" applyNumberFormat="1" applyFont="1" applyFill="1" applyBorder="1" applyAlignment="1">
      <alignment horizontal="center" vertical="center" wrapText="1"/>
    </xf>
    <xf numFmtId="0" fontId="180" fillId="52" borderId="54" xfId="0" applyNumberFormat="1" applyFont="1" applyFill="1" applyBorder="1" applyAlignment="1">
      <alignment horizontal="center" vertical="center"/>
    </xf>
    <xf numFmtId="0" fontId="180" fillId="52" borderId="56" xfId="968" applyNumberFormat="1" applyFont="1" applyFill="1" applyBorder="1" applyAlignment="1">
      <alignment horizontal="left" vertical="center" wrapText="1"/>
    </xf>
    <xf numFmtId="0" fontId="180" fillId="52" borderId="54" xfId="968" applyNumberFormat="1" applyFont="1" applyFill="1" applyBorder="1" applyAlignment="1">
      <alignment vertical="center" wrapText="1"/>
    </xf>
    <xf numFmtId="0" fontId="180" fillId="52" borderId="16" xfId="968" applyNumberFormat="1" applyFont="1" applyFill="1" applyBorder="1" applyAlignment="1">
      <alignment horizontal="left" vertical="center" wrapText="1"/>
    </xf>
    <xf numFmtId="0" fontId="180" fillId="52" borderId="4" xfId="996" applyNumberFormat="1" applyFont="1" applyFill="1" applyBorder="1" applyAlignment="1">
      <alignment horizontal="left" vertical="center" wrapText="1"/>
    </xf>
    <xf numFmtId="0" fontId="180" fillId="52" borderId="54" xfId="2" applyNumberFormat="1" applyFont="1" applyFill="1" applyBorder="1" applyAlignment="1">
      <alignment horizontal="center" vertical="center" wrapText="1"/>
    </xf>
    <xf numFmtId="0" fontId="180" fillId="52" borderId="4" xfId="2" applyNumberFormat="1" applyFont="1" applyFill="1" applyBorder="1" applyAlignment="1">
      <alignment horizontal="left" vertical="center" wrapText="1"/>
    </xf>
    <xf numFmtId="0" fontId="187" fillId="52" borderId="16" xfId="0" applyNumberFormat="1" applyFont="1" applyFill="1" applyBorder="1" applyAlignment="1">
      <alignment horizontal="center" vertical="center"/>
    </xf>
    <xf numFmtId="0" fontId="187" fillId="52" borderId="54" xfId="0" applyNumberFormat="1" applyFont="1" applyFill="1" applyBorder="1" applyAlignment="1">
      <alignment horizontal="center" vertical="center"/>
    </xf>
    <xf numFmtId="0" fontId="187" fillId="52" borderId="56" xfId="0" applyNumberFormat="1" applyFont="1" applyFill="1" applyBorder="1" applyAlignment="1">
      <alignment horizontal="left" vertical="center" wrapText="1"/>
    </xf>
    <xf numFmtId="0" fontId="187" fillId="52" borderId="16" xfId="968" applyNumberFormat="1" applyFont="1" applyFill="1" applyBorder="1" applyAlignment="1">
      <alignment horizontal="center" vertical="center" wrapText="1"/>
    </xf>
    <xf numFmtId="0" fontId="187" fillId="52" borderId="54" xfId="968" applyNumberFormat="1" applyFont="1" applyFill="1" applyBorder="1" applyAlignment="1">
      <alignment horizontal="center" vertical="center" wrapText="1"/>
    </xf>
    <xf numFmtId="263" fontId="202" fillId="52" borderId="16" xfId="962" applyNumberFormat="1" applyFont="1" applyFill="1" applyBorder="1" applyAlignment="1" applyProtection="1">
      <alignment horizontal="right" vertical="center" wrapText="1"/>
    </xf>
    <xf numFmtId="263" fontId="243" fillId="52" borderId="16" xfId="962" applyNumberFormat="1" applyFont="1" applyFill="1" applyBorder="1" applyAlignment="1">
      <alignment horizontal="right" vertical="center" wrapText="1"/>
    </xf>
    <xf numFmtId="0" fontId="240" fillId="52" borderId="0" xfId="0" applyFont="1" applyFill="1"/>
    <xf numFmtId="0" fontId="196" fillId="52" borderId="16" xfId="2" applyNumberFormat="1" applyFont="1" applyFill="1" applyBorder="1" applyAlignment="1">
      <alignment horizontal="center" vertical="center" wrapText="1"/>
    </xf>
    <xf numFmtId="0" fontId="250" fillId="52" borderId="16" xfId="0" applyFont="1" applyFill="1" applyBorder="1"/>
    <xf numFmtId="0" fontId="196" fillId="52" borderId="16" xfId="2" applyNumberFormat="1" applyFont="1" applyFill="1" applyBorder="1" applyAlignment="1">
      <alignment vertical="center" wrapText="1"/>
    </xf>
    <xf numFmtId="263" fontId="196" fillId="52" borderId="16" xfId="3" applyNumberFormat="1" applyFont="1" applyFill="1" applyBorder="1" applyAlignment="1" applyProtection="1">
      <alignment horizontal="center" vertical="center" wrapText="1"/>
    </xf>
    <xf numFmtId="0" fontId="212" fillId="52" borderId="16" xfId="3" applyNumberFormat="1" applyFont="1" applyFill="1" applyBorder="1" applyAlignment="1">
      <alignment horizontal="right" vertical="center" wrapText="1"/>
    </xf>
    <xf numFmtId="0" fontId="212" fillId="52" borderId="16" xfId="0" applyNumberFormat="1" applyFont="1" applyFill="1" applyBorder="1" applyAlignment="1">
      <alignment horizontal="right" vertical="center"/>
    </xf>
    <xf numFmtId="0" fontId="212" fillId="52" borderId="16" xfId="4" applyNumberFormat="1" applyFont="1" applyFill="1" applyBorder="1" applyAlignment="1">
      <alignment horizontal="right" vertical="center" wrapText="1"/>
    </xf>
    <xf numFmtId="0" fontId="250" fillId="52" borderId="0" xfId="0" applyFont="1" applyFill="1"/>
    <xf numFmtId="263" fontId="251" fillId="52" borderId="16" xfId="962" applyNumberFormat="1" applyFont="1" applyFill="1" applyBorder="1" applyAlignment="1">
      <alignment vertical="center" wrapText="1"/>
    </xf>
    <xf numFmtId="0" fontId="252" fillId="52" borderId="16" xfId="0" applyFont="1" applyFill="1" applyBorder="1" applyAlignment="1">
      <alignment horizontal="center" vertical="center"/>
    </xf>
    <xf numFmtId="0" fontId="253" fillId="52" borderId="16" xfId="0" applyFont="1" applyFill="1" applyBorder="1"/>
    <xf numFmtId="263" fontId="252" fillId="52" borderId="16" xfId="962" applyNumberFormat="1" applyFont="1" applyFill="1" applyBorder="1" applyAlignment="1">
      <alignment vertical="center" wrapText="1"/>
    </xf>
    <xf numFmtId="263" fontId="202" fillId="52" borderId="16" xfId="0" applyNumberFormat="1" applyFont="1" applyFill="1" applyBorder="1" applyAlignment="1">
      <alignment horizontal="right" vertical="center"/>
    </xf>
    <xf numFmtId="0" fontId="253" fillId="52" borderId="0" xfId="0" applyFont="1" applyFill="1"/>
    <xf numFmtId="0" fontId="202" fillId="52" borderId="16" xfId="2" applyNumberFormat="1" applyFont="1" applyFill="1" applyBorder="1" applyAlignment="1">
      <alignment horizontal="center" vertical="center" wrapText="1"/>
    </xf>
    <xf numFmtId="263" fontId="202" fillId="52" borderId="16" xfId="3" applyNumberFormat="1" applyFont="1" applyFill="1" applyBorder="1" applyAlignment="1" applyProtection="1">
      <alignment horizontal="center" vertical="center" wrapText="1"/>
    </xf>
    <xf numFmtId="0" fontId="202" fillId="52" borderId="16" xfId="3" applyNumberFormat="1" applyFont="1" applyFill="1" applyBorder="1" applyAlignment="1">
      <alignment horizontal="right" vertical="center" wrapText="1"/>
    </xf>
    <xf numFmtId="0" fontId="251" fillId="52" borderId="54" xfId="0" applyFont="1" applyFill="1" applyBorder="1" applyAlignment="1">
      <alignment vertical="center" wrapText="1"/>
    </xf>
    <xf numFmtId="0" fontId="254" fillId="52" borderId="0" xfId="0" applyFont="1" applyFill="1"/>
    <xf numFmtId="0" fontId="184" fillId="24" borderId="0" xfId="0" applyNumberFormat="1" applyFont="1" applyFill="1" applyAlignment="1">
      <alignment horizontal="center" vertical="center"/>
    </xf>
    <xf numFmtId="0" fontId="192" fillId="24" borderId="5" xfId="2" applyNumberFormat="1" applyFont="1" applyFill="1" applyBorder="1" applyAlignment="1">
      <alignment horizontal="center" vertical="center" wrapText="1"/>
    </xf>
    <xf numFmtId="0" fontId="192" fillId="24" borderId="12" xfId="2" applyNumberFormat="1" applyFont="1" applyFill="1" applyBorder="1" applyAlignment="1">
      <alignment horizontal="center" vertical="center" wrapText="1"/>
    </xf>
    <xf numFmtId="263" fontId="240" fillId="52" borderId="0" xfId="0" applyNumberFormat="1" applyFont="1" applyFill="1"/>
    <xf numFmtId="0" fontId="202" fillId="52" borderId="4" xfId="2" applyNumberFormat="1" applyFont="1" applyFill="1" applyBorder="1" applyAlignment="1">
      <alignment horizontal="center" vertical="center" wrapText="1"/>
    </xf>
    <xf numFmtId="0" fontId="202" fillId="52" borderId="3" xfId="2" applyNumberFormat="1" applyFont="1" applyFill="1" applyBorder="1" applyAlignment="1">
      <alignment horizontal="center" vertical="center" wrapText="1"/>
    </xf>
    <xf numFmtId="0" fontId="202" fillId="52" borderId="2" xfId="2" applyNumberFormat="1" applyFont="1" applyFill="1" applyBorder="1" applyAlignment="1">
      <alignment vertical="center" wrapText="1"/>
    </xf>
    <xf numFmtId="0" fontId="247" fillId="52" borderId="2" xfId="2" applyNumberFormat="1" applyFont="1" applyFill="1" applyBorder="1" applyAlignment="1">
      <alignment vertical="center" wrapText="1"/>
    </xf>
    <xf numFmtId="0" fontId="245" fillId="52" borderId="2" xfId="2" applyNumberFormat="1" applyFont="1" applyFill="1" applyBorder="1" applyAlignment="1">
      <alignment vertical="center" wrapText="1"/>
    </xf>
    <xf numFmtId="0" fontId="255" fillId="52" borderId="0" xfId="0" applyFont="1" applyFill="1"/>
    <xf numFmtId="0" fontId="256" fillId="61" borderId="16" xfId="0" applyFont="1" applyFill="1" applyBorder="1" applyAlignment="1">
      <alignment vertical="center"/>
    </xf>
    <xf numFmtId="263" fontId="202" fillId="52" borderId="16" xfId="962" applyNumberFormat="1" applyFont="1" applyFill="1" applyBorder="1" applyAlignment="1">
      <alignment horizontal="right" vertical="center" wrapText="1"/>
    </xf>
    <xf numFmtId="263" fontId="247" fillId="52" borderId="16" xfId="3" applyNumberFormat="1" applyFont="1" applyFill="1" applyBorder="1" applyAlignment="1" applyProtection="1">
      <alignment horizontal="center" vertical="center" wrapText="1"/>
    </xf>
    <xf numFmtId="263" fontId="220" fillId="52" borderId="16" xfId="962" applyNumberFormat="1" applyFont="1" applyFill="1" applyBorder="1" applyAlignment="1" applyProtection="1">
      <alignment horizontal="right" vertical="center" wrapText="1"/>
    </xf>
    <xf numFmtId="263" fontId="220" fillId="61" borderId="16" xfId="962" applyNumberFormat="1" applyFont="1" applyFill="1" applyBorder="1" applyAlignment="1">
      <alignment vertical="center"/>
    </xf>
    <xf numFmtId="0" fontId="194" fillId="24" borderId="57" xfId="2" applyNumberFormat="1" applyFont="1" applyFill="1" applyBorder="1" applyAlignment="1">
      <alignment horizontal="center" vertical="center" wrapText="1"/>
    </xf>
    <xf numFmtId="0" fontId="188" fillId="24" borderId="4" xfId="2" applyNumberFormat="1" applyFont="1" applyFill="1" applyBorder="1" applyAlignment="1">
      <alignment horizontal="left" vertical="center" wrapText="1"/>
    </xf>
    <xf numFmtId="0" fontId="184" fillId="24" borderId="4" xfId="2" applyNumberFormat="1" applyFont="1" applyFill="1" applyBorder="1" applyAlignment="1">
      <alignment horizontal="left" vertical="center" wrapText="1"/>
    </xf>
    <xf numFmtId="0" fontId="176" fillId="24" borderId="4" xfId="2" applyNumberFormat="1" applyFont="1" applyFill="1" applyBorder="1" applyAlignment="1">
      <alignment horizontal="center" vertical="center" wrapText="1"/>
    </xf>
    <xf numFmtId="0" fontId="182" fillId="24" borderId="4" xfId="2" applyNumberFormat="1" applyFont="1" applyFill="1" applyBorder="1" applyAlignment="1">
      <alignment horizontal="center" vertical="center" wrapText="1"/>
    </xf>
    <xf numFmtId="0" fontId="187" fillId="24" borderId="4" xfId="2" applyNumberFormat="1" applyFont="1" applyFill="1" applyBorder="1" applyAlignment="1">
      <alignment horizontal="center" vertical="center" wrapText="1"/>
    </xf>
    <xf numFmtId="0" fontId="175" fillId="24" borderId="4" xfId="968" applyNumberFormat="1" applyFont="1" applyFill="1" applyBorder="1" applyAlignment="1">
      <alignment horizontal="center" vertical="center" wrapText="1"/>
    </xf>
    <xf numFmtId="0" fontId="180" fillId="24" borderId="4" xfId="968" applyNumberFormat="1" applyFont="1" applyFill="1" applyBorder="1" applyAlignment="1">
      <alignment horizontal="center" vertical="center" wrapText="1"/>
    </xf>
    <xf numFmtId="0" fontId="175" fillId="24" borderId="4" xfId="0" applyNumberFormat="1" applyFont="1" applyFill="1" applyBorder="1" applyAlignment="1">
      <alignment horizontal="center" vertical="center"/>
    </xf>
    <xf numFmtId="0" fontId="184" fillId="24" borderId="4" xfId="0" applyNumberFormat="1" applyFont="1" applyFill="1" applyBorder="1" applyAlignment="1">
      <alignment horizontal="center" vertical="center"/>
    </xf>
    <xf numFmtId="0" fontId="180" fillId="24" borderId="4" xfId="0" applyNumberFormat="1" applyFont="1" applyFill="1" applyBorder="1" applyAlignment="1">
      <alignment horizontal="center" vertical="center"/>
    </xf>
    <xf numFmtId="0" fontId="188" fillId="24" borderId="4" xfId="0" applyNumberFormat="1" applyFont="1" applyFill="1" applyBorder="1" applyAlignment="1">
      <alignment horizontal="center" vertical="center"/>
    </xf>
    <xf numFmtId="0" fontId="175" fillId="24" borderId="4" xfId="2" applyNumberFormat="1" applyFont="1" applyFill="1" applyBorder="1" applyAlignment="1">
      <alignment horizontal="center" vertical="center" wrapText="1"/>
    </xf>
    <xf numFmtId="0" fontId="180" fillId="24" borderId="4" xfId="2" applyNumberFormat="1" applyFont="1" applyFill="1" applyBorder="1" applyAlignment="1">
      <alignment horizontal="center" vertical="center" wrapText="1"/>
    </xf>
    <xf numFmtId="0" fontId="185" fillId="24" borderId="4" xfId="0" applyNumberFormat="1" applyFont="1" applyFill="1" applyBorder="1" applyAlignment="1">
      <alignment horizontal="center" vertical="center"/>
    </xf>
    <xf numFmtId="0" fontId="187" fillId="24" borderId="4" xfId="0" applyNumberFormat="1" applyFont="1" applyFill="1" applyBorder="1" applyAlignment="1">
      <alignment horizontal="center" vertical="center"/>
    </xf>
    <xf numFmtId="0" fontId="176" fillId="24" borderId="4" xfId="0" applyNumberFormat="1" applyFont="1" applyFill="1" applyBorder="1" applyAlignment="1">
      <alignment horizontal="center" vertical="center"/>
    </xf>
    <xf numFmtId="0" fontId="188" fillId="24" borderId="4" xfId="2" applyNumberFormat="1" applyFont="1" applyFill="1" applyBorder="1" applyAlignment="1">
      <alignment horizontal="center" vertical="center" wrapText="1"/>
    </xf>
    <xf numFmtId="0" fontId="188" fillId="24" borderId="4" xfId="968" applyNumberFormat="1" applyFont="1" applyFill="1" applyBorder="1" applyAlignment="1">
      <alignment horizontal="center" vertical="center" wrapText="1"/>
    </xf>
    <xf numFmtId="0" fontId="185" fillId="24" borderId="4" xfId="968" applyNumberFormat="1" applyFont="1" applyFill="1" applyBorder="1" applyAlignment="1">
      <alignment horizontal="center" vertical="center" wrapText="1"/>
    </xf>
    <xf numFmtId="0" fontId="187" fillId="24" borderId="4" xfId="968" applyNumberFormat="1" applyFont="1" applyFill="1" applyBorder="1" applyAlignment="1">
      <alignment horizontal="center" vertical="center" wrapText="1"/>
    </xf>
    <xf numFmtId="0" fontId="179" fillId="52" borderId="56" xfId="2" applyNumberFormat="1" applyFont="1" applyFill="1" applyBorder="1" applyAlignment="1">
      <alignment horizontal="left" vertical="center" wrapText="1"/>
    </xf>
    <xf numFmtId="0" fontId="184" fillId="24" borderId="0" xfId="0" applyNumberFormat="1" applyFont="1" applyFill="1" applyAlignment="1">
      <alignment horizontal="left" vertical="center" wrapText="1"/>
    </xf>
    <xf numFmtId="0" fontId="184" fillId="24" borderId="0" xfId="0" applyNumberFormat="1" applyFont="1" applyFill="1" applyAlignment="1">
      <alignment horizontal="center" vertical="center"/>
    </xf>
    <xf numFmtId="0" fontId="180" fillId="24" borderId="0" xfId="0" applyNumberFormat="1" applyFont="1" applyFill="1" applyAlignment="1">
      <alignment horizontal="right" vertical="center"/>
    </xf>
    <xf numFmtId="0" fontId="239" fillId="0" borderId="54" xfId="0" applyFont="1" applyBorder="1" applyAlignment="1">
      <alignment horizontal="center" vertical="center" wrapText="1"/>
    </xf>
    <xf numFmtId="0" fontId="257" fillId="24" borderId="4" xfId="2" applyNumberFormat="1" applyFont="1" applyFill="1" applyBorder="1" applyAlignment="1">
      <alignment horizontal="center" vertical="center" wrapText="1"/>
    </xf>
    <xf numFmtId="0" fontId="221" fillId="62" borderId="73" xfId="0" applyFont="1" applyFill="1" applyBorder="1" applyAlignment="1">
      <alignment horizontal="right" vertical="center" wrapText="1"/>
    </xf>
    <xf numFmtId="3" fontId="221" fillId="62" borderId="73" xfId="0" applyNumberFormat="1" applyFont="1" applyFill="1" applyBorder="1" applyAlignment="1">
      <alignment horizontal="center" vertical="center" wrapText="1"/>
    </xf>
    <xf numFmtId="0" fontId="221" fillId="62" borderId="74" xfId="0" applyFont="1" applyFill="1" applyBorder="1" applyAlignment="1">
      <alignment horizontal="right" vertical="center" wrapText="1"/>
    </xf>
    <xf numFmtId="3" fontId="221" fillId="62" borderId="74" xfId="0" applyNumberFormat="1" applyFont="1" applyFill="1" applyBorder="1" applyAlignment="1">
      <alignment horizontal="center" vertical="center" wrapText="1"/>
    </xf>
    <xf numFmtId="3" fontId="239" fillId="0" borderId="75" xfId="0" applyNumberFormat="1" applyFont="1" applyBorder="1" applyAlignment="1">
      <alignment horizontal="center" vertical="center"/>
    </xf>
    <xf numFmtId="3" fontId="239" fillId="0" borderId="75" xfId="0" applyNumberFormat="1" applyFont="1" applyBorder="1" applyAlignment="1">
      <alignment vertical="center"/>
    </xf>
    <xf numFmtId="180" fontId="222" fillId="0" borderId="0" xfId="0" applyNumberFormat="1" applyFont="1"/>
    <xf numFmtId="0" fontId="180" fillId="2" borderId="0" xfId="0" applyNumberFormat="1" applyFont="1" applyFill="1" applyAlignment="1">
      <alignment vertical="center"/>
    </xf>
    <xf numFmtId="0" fontId="180" fillId="2" borderId="16" xfId="968" applyNumberFormat="1" applyFont="1" applyFill="1" applyBorder="1" applyAlignment="1">
      <alignment horizontal="center" vertical="center" wrapText="1"/>
    </xf>
    <xf numFmtId="0" fontId="180" fillId="2" borderId="54" xfId="2" applyNumberFormat="1" applyFont="1" applyFill="1" applyBorder="1" applyAlignment="1">
      <alignment horizontal="left" vertical="center" wrapText="1"/>
    </xf>
    <xf numFmtId="0" fontId="180" fillId="2" borderId="4" xfId="2" applyNumberFormat="1" applyFont="1" applyFill="1" applyBorder="1" applyAlignment="1">
      <alignment horizontal="left" vertical="center" wrapText="1"/>
    </xf>
    <xf numFmtId="263" fontId="180" fillId="2" borderId="16" xfId="962" applyNumberFormat="1" applyFont="1" applyFill="1" applyBorder="1" applyAlignment="1" applyProtection="1">
      <alignment horizontal="right" vertical="center" wrapText="1"/>
    </xf>
    <xf numFmtId="263" fontId="180" fillId="2" borderId="16" xfId="962" applyNumberFormat="1" applyFont="1" applyFill="1" applyBorder="1" applyAlignment="1">
      <alignment horizontal="right" vertical="center"/>
    </xf>
    <xf numFmtId="263" fontId="42" fillId="2" borderId="16" xfId="962" applyNumberFormat="1" applyFont="1" applyFill="1" applyBorder="1" applyAlignment="1">
      <alignment horizontal="right" vertical="center"/>
    </xf>
    <xf numFmtId="263" fontId="180" fillId="2" borderId="16" xfId="962" applyNumberFormat="1" applyFont="1" applyFill="1" applyBorder="1" applyAlignment="1">
      <alignment horizontal="right" vertical="center" wrapText="1"/>
    </xf>
    <xf numFmtId="263" fontId="180" fillId="2" borderId="16" xfId="962" applyNumberFormat="1" applyFont="1" applyFill="1" applyBorder="1" applyAlignment="1">
      <alignment horizontal="right"/>
    </xf>
    <xf numFmtId="0" fontId="258" fillId="52" borderId="56" xfId="2" applyNumberFormat="1" applyFont="1" applyFill="1" applyBorder="1" applyAlignment="1">
      <alignment horizontal="left" vertical="center" wrapText="1"/>
    </xf>
    <xf numFmtId="0" fontId="193" fillId="2" borderId="16" xfId="968" applyNumberFormat="1" applyFont="1" applyFill="1" applyBorder="1" applyAlignment="1">
      <alignment horizontal="center" vertical="center" wrapText="1"/>
    </xf>
    <xf numFmtId="0" fontId="181" fillId="2" borderId="16" xfId="2" applyNumberFormat="1" applyFont="1" applyFill="1" applyBorder="1" applyAlignment="1">
      <alignment horizontal="left" vertical="center" wrapText="1"/>
    </xf>
    <xf numFmtId="0" fontId="181" fillId="2" borderId="4" xfId="2" applyNumberFormat="1" applyFont="1" applyFill="1" applyBorder="1" applyAlignment="1">
      <alignment horizontal="left" vertical="center" wrapText="1"/>
    </xf>
    <xf numFmtId="0" fontId="193" fillId="2" borderId="4" xfId="2" applyNumberFormat="1" applyFont="1" applyFill="1" applyBorder="1" applyAlignment="1">
      <alignment horizontal="left" vertical="center" wrapText="1"/>
    </xf>
    <xf numFmtId="263" fontId="0" fillId="0" borderId="0" xfId="962" applyNumberFormat="1" applyFont="1"/>
    <xf numFmtId="0" fontId="225" fillId="0" borderId="0" xfId="0" applyFont="1" applyFill="1"/>
    <xf numFmtId="0" fontId="225" fillId="0" borderId="0" xfId="0" applyFont="1" applyFill="1" applyAlignment="1">
      <alignment horizontal="center"/>
    </xf>
    <xf numFmtId="263" fontId="225" fillId="0" borderId="0" xfId="0" applyNumberFormat="1" applyFont="1" applyFill="1"/>
    <xf numFmtId="0" fontId="220" fillId="0" borderId="0" xfId="0" applyFont="1" applyFill="1"/>
    <xf numFmtId="0" fontId="227" fillId="0" borderId="0" xfId="0" applyFont="1" applyFill="1"/>
    <xf numFmtId="0" fontId="227" fillId="0" borderId="0" xfId="0" applyFont="1" applyFill="1" applyAlignment="1">
      <alignment vertical="center"/>
    </xf>
    <xf numFmtId="0" fontId="260" fillId="52" borderId="0" xfId="8" applyFont="1" applyFill="1" applyAlignment="1">
      <alignment vertical="center" wrapText="1"/>
    </xf>
    <xf numFmtId="180" fontId="260" fillId="52" borderId="0" xfId="8" applyNumberFormat="1" applyFont="1" applyFill="1" applyAlignment="1">
      <alignment vertical="center" wrapText="1"/>
    </xf>
    <xf numFmtId="291" fontId="14" fillId="52" borderId="0" xfId="1250" applyNumberFormat="1" applyFont="1" applyFill="1" applyAlignment="1">
      <alignment vertical="center" wrapText="1"/>
    </xf>
    <xf numFmtId="4" fontId="14" fillId="52" borderId="0" xfId="8" applyNumberFormat="1" applyFont="1" applyFill="1" applyAlignment="1">
      <alignment vertical="center" wrapText="1"/>
    </xf>
    <xf numFmtId="180" fontId="14" fillId="52" borderId="0" xfId="1250" applyNumberFormat="1" applyFont="1" applyFill="1" applyAlignment="1">
      <alignment vertical="center" wrapText="1"/>
    </xf>
    <xf numFmtId="3" fontId="14" fillId="52" borderId="0" xfId="8" applyNumberFormat="1" applyFont="1" applyFill="1" applyAlignment="1">
      <alignment vertical="center" wrapText="1"/>
    </xf>
    <xf numFmtId="0" fontId="14" fillId="52" borderId="0" xfId="8" applyFont="1" applyFill="1" applyAlignment="1">
      <alignment vertical="center" wrapText="1"/>
    </xf>
    <xf numFmtId="0" fontId="262" fillId="52" borderId="0" xfId="8" applyFont="1" applyFill="1" applyAlignment="1">
      <alignment horizontal="center" vertical="center" wrapText="1"/>
    </xf>
    <xf numFmtId="0" fontId="261" fillId="52" borderId="0" xfId="8" applyFont="1" applyFill="1" applyAlignment="1">
      <alignment horizontal="center" vertical="center" wrapText="1"/>
    </xf>
    <xf numFmtId="0" fontId="14" fillId="52" borderId="0" xfId="8" applyFont="1" applyFill="1" applyAlignment="1">
      <alignment horizontal="center" vertical="center" wrapText="1"/>
    </xf>
    <xf numFmtId="263" fontId="14" fillId="52" borderId="0" xfId="1250" applyNumberFormat="1" applyFont="1" applyFill="1" applyAlignment="1">
      <alignment vertical="center" wrapText="1"/>
    </xf>
    <xf numFmtId="291" fontId="14" fillId="52" borderId="0" xfId="1250" applyNumberFormat="1" applyFont="1" applyFill="1" applyBorder="1" applyAlignment="1">
      <alignment horizontal="center" vertical="center" wrapText="1"/>
    </xf>
    <xf numFmtId="175" fontId="260" fillId="52" borderId="17" xfId="1250" applyNumberFormat="1" applyFont="1" applyFill="1" applyBorder="1" applyAlignment="1">
      <alignment horizontal="center" vertical="center" wrapText="1"/>
    </xf>
    <xf numFmtId="175" fontId="260" fillId="52" borderId="17" xfId="1250" applyNumberFormat="1" applyFont="1" applyFill="1" applyBorder="1" applyAlignment="1">
      <alignment horizontal="left" vertical="center" wrapText="1"/>
    </xf>
    <xf numFmtId="263" fontId="260" fillId="52" borderId="17" xfId="1250" applyNumberFormat="1" applyFont="1" applyFill="1" applyBorder="1" applyAlignment="1">
      <alignment vertical="center" wrapText="1"/>
    </xf>
    <xf numFmtId="180" fontId="260" fillId="52" borderId="17" xfId="1250" applyNumberFormat="1" applyFont="1" applyFill="1" applyBorder="1" applyAlignment="1">
      <alignment horizontal="center" vertical="center" wrapText="1"/>
    </xf>
    <xf numFmtId="180" fontId="260" fillId="52" borderId="0" xfId="1250" applyNumberFormat="1" applyFont="1" applyFill="1" applyBorder="1" applyAlignment="1">
      <alignment vertical="center" wrapText="1"/>
    </xf>
    <xf numFmtId="180" fontId="260" fillId="52" borderId="0" xfId="1250" applyNumberFormat="1" applyFont="1" applyFill="1" applyAlignment="1">
      <alignment vertical="center" wrapText="1"/>
    </xf>
    <xf numFmtId="291" fontId="260" fillId="52" borderId="0" xfId="1250" applyNumberFormat="1" applyFont="1" applyFill="1" applyAlignment="1">
      <alignment vertical="center" wrapText="1"/>
    </xf>
    <xf numFmtId="4" fontId="260" fillId="52" borderId="0" xfId="8" applyNumberFormat="1" applyFont="1" applyFill="1" applyAlignment="1">
      <alignment vertical="center" wrapText="1"/>
    </xf>
    <xf numFmtId="3" fontId="260" fillId="52" borderId="0" xfId="8" applyNumberFormat="1" applyFont="1" applyFill="1" applyAlignment="1">
      <alignment vertical="center" wrapText="1"/>
    </xf>
    <xf numFmtId="0" fontId="14" fillId="52" borderId="18" xfId="8" applyFont="1" applyFill="1" applyBorder="1" applyAlignment="1">
      <alignment horizontal="center" vertical="center" wrapText="1"/>
    </xf>
    <xf numFmtId="0" fontId="14" fillId="52" borderId="18" xfId="1003" applyFont="1" applyFill="1" applyBorder="1" applyAlignment="1">
      <alignment horizontal="left" vertical="center" wrapText="1"/>
    </xf>
    <xf numFmtId="263" fontId="14" fillId="52" borderId="18" xfId="1250" applyNumberFormat="1" applyFont="1" applyFill="1" applyBorder="1" applyAlignment="1">
      <alignment horizontal="center" vertical="center" wrapText="1"/>
    </xf>
    <xf numFmtId="180" fontId="14" fillId="52" borderId="18" xfId="1250" applyNumberFormat="1" applyFont="1" applyFill="1" applyBorder="1" applyAlignment="1">
      <alignment vertical="center" wrapText="1"/>
    </xf>
    <xf numFmtId="180" fontId="14" fillId="52" borderId="0" xfId="1250" applyNumberFormat="1" applyFont="1" applyFill="1" applyBorder="1" applyAlignment="1">
      <alignment vertical="center" wrapText="1"/>
    </xf>
    <xf numFmtId="180" fontId="14" fillId="52" borderId="18" xfId="1250" applyNumberFormat="1" applyFont="1" applyFill="1" applyBorder="1" applyAlignment="1">
      <alignment horizontal="center" vertical="center" wrapText="1"/>
    </xf>
    <xf numFmtId="0" fontId="260" fillId="52" borderId="18" xfId="8" applyFont="1" applyFill="1" applyBorder="1" applyAlignment="1">
      <alignment horizontal="center" vertical="center" wrapText="1"/>
    </xf>
    <xf numFmtId="0" fontId="260" fillId="52" borderId="18" xfId="1003" applyFont="1" applyFill="1" applyBorder="1" applyAlignment="1">
      <alignment horizontal="left" vertical="center" wrapText="1"/>
    </xf>
    <xf numFmtId="263" fontId="260" fillId="52" borderId="18" xfId="1250" applyNumberFormat="1" applyFont="1" applyFill="1" applyBorder="1" applyAlignment="1">
      <alignment horizontal="center" vertical="center" wrapText="1"/>
    </xf>
    <xf numFmtId="180" fontId="260" fillId="52" borderId="18" xfId="1250" applyNumberFormat="1" applyFont="1" applyFill="1" applyBorder="1" applyAlignment="1">
      <alignment horizontal="center" vertical="center" wrapText="1"/>
    </xf>
    <xf numFmtId="263" fontId="181" fillId="52" borderId="0" xfId="1250" applyNumberFormat="1" applyFont="1" applyFill="1" applyBorder="1" applyAlignment="1">
      <alignment horizontal="center" vertical="center" wrapText="1"/>
    </xf>
    <xf numFmtId="175" fontId="260" fillId="52" borderId="18" xfId="1250" applyNumberFormat="1" applyFont="1" applyFill="1" applyBorder="1" applyAlignment="1">
      <alignment horizontal="center" vertical="center" wrapText="1"/>
    </xf>
    <xf numFmtId="175" fontId="260" fillId="52" borderId="18" xfId="1250" applyNumberFormat="1" applyFont="1" applyFill="1" applyBorder="1" applyAlignment="1">
      <alignment horizontal="left" vertical="center" wrapText="1"/>
    </xf>
    <xf numFmtId="180" fontId="260" fillId="52" borderId="18" xfId="1250" applyNumberFormat="1" applyFont="1" applyFill="1" applyBorder="1" applyAlignment="1">
      <alignment vertical="center" wrapText="1"/>
    </xf>
    <xf numFmtId="291" fontId="14" fillId="52" borderId="0" xfId="1250" applyNumberFormat="1" applyFont="1" applyFill="1" applyBorder="1" applyAlignment="1">
      <alignment vertical="center" wrapText="1"/>
    </xf>
    <xf numFmtId="0" fontId="14" fillId="52" borderId="18" xfId="584" applyFont="1" applyFill="1" applyBorder="1" applyAlignment="1">
      <alignment horizontal="left" vertical="center" wrapText="1"/>
    </xf>
    <xf numFmtId="0" fontId="263" fillId="52" borderId="18" xfId="8" applyFont="1" applyFill="1" applyBorder="1" applyAlignment="1">
      <alignment horizontal="center" vertical="center" wrapText="1"/>
    </xf>
    <xf numFmtId="0" fontId="263" fillId="52" borderId="18" xfId="1003" applyFont="1" applyFill="1" applyBorder="1" applyAlignment="1">
      <alignment horizontal="left" vertical="center" wrapText="1"/>
    </xf>
    <xf numFmtId="180" fontId="263" fillId="52" borderId="18" xfId="1250" applyNumberFormat="1" applyFont="1" applyFill="1" applyBorder="1" applyAlignment="1">
      <alignment horizontal="center" vertical="center" wrapText="1"/>
    </xf>
    <xf numFmtId="180" fontId="263" fillId="52" borderId="0" xfId="1250" applyNumberFormat="1" applyFont="1" applyFill="1" applyAlignment="1">
      <alignment vertical="center" wrapText="1"/>
    </xf>
    <xf numFmtId="291" fontId="263" fillId="52" borderId="0" xfId="1250" applyNumberFormat="1" applyFont="1" applyFill="1" applyAlignment="1">
      <alignment vertical="center" wrapText="1"/>
    </xf>
    <xf numFmtId="4" fontId="263" fillId="52" borderId="0" xfId="8" applyNumberFormat="1" applyFont="1" applyFill="1" applyAlignment="1">
      <alignment vertical="center" wrapText="1"/>
    </xf>
    <xf numFmtId="3" fontId="263" fillId="52" borderId="0" xfId="8" applyNumberFormat="1" applyFont="1" applyFill="1" applyAlignment="1">
      <alignment vertical="center" wrapText="1"/>
    </xf>
    <xf numFmtId="0" fontId="263" fillId="52" borderId="0" xfId="8" applyFont="1" applyFill="1" applyAlignment="1">
      <alignment vertical="center" wrapText="1"/>
    </xf>
    <xf numFmtId="180" fontId="263" fillId="52" borderId="18" xfId="1250" applyNumberFormat="1" applyFont="1" applyFill="1" applyBorder="1" applyAlignment="1">
      <alignment vertical="center" wrapText="1"/>
    </xf>
    <xf numFmtId="0" fontId="264" fillId="52" borderId="18" xfId="8" applyFont="1" applyFill="1" applyBorder="1" applyAlignment="1">
      <alignment horizontal="center" vertical="center" wrapText="1"/>
    </xf>
    <xf numFmtId="263" fontId="263" fillId="52" borderId="18" xfId="1250" applyNumberFormat="1" applyFont="1" applyFill="1" applyBorder="1" applyAlignment="1">
      <alignment horizontal="center" vertical="center" wrapText="1"/>
    </xf>
    <xf numFmtId="0" fontId="263" fillId="52" borderId="18" xfId="584" applyFont="1" applyFill="1" applyBorder="1" applyAlignment="1">
      <alignment horizontal="left" vertical="center" wrapText="1"/>
    </xf>
    <xf numFmtId="0" fontId="14" fillId="52" borderId="76" xfId="8" applyFont="1" applyFill="1" applyBorder="1" applyAlignment="1">
      <alignment horizontal="center" vertical="center" wrapText="1"/>
    </xf>
    <xf numFmtId="0" fontId="14" fillId="52" borderId="76" xfId="584" applyFont="1" applyFill="1" applyBorder="1" applyAlignment="1">
      <alignment horizontal="left" vertical="center" wrapText="1"/>
    </xf>
    <xf numFmtId="0" fontId="260" fillId="52" borderId="12" xfId="8" applyFont="1" applyFill="1" applyBorder="1" applyAlignment="1">
      <alignment horizontal="center" vertical="center" wrapText="1"/>
    </xf>
    <xf numFmtId="263" fontId="260" fillId="52" borderId="12" xfId="1250" applyNumberFormat="1" applyFont="1" applyFill="1" applyBorder="1" applyAlignment="1">
      <alignment vertical="center" wrapText="1"/>
    </xf>
    <xf numFmtId="180" fontId="260" fillId="52" borderId="12" xfId="1250" applyNumberFormat="1" applyFont="1" applyFill="1" applyBorder="1" applyAlignment="1">
      <alignment vertical="center" wrapText="1"/>
    </xf>
    <xf numFmtId="263" fontId="260" fillId="52" borderId="0" xfId="1250" applyNumberFormat="1" applyFont="1" applyFill="1" applyBorder="1" applyAlignment="1">
      <alignment vertical="center" wrapText="1"/>
    </xf>
    <xf numFmtId="0" fontId="220" fillId="52" borderId="0" xfId="8" applyFont="1" applyFill="1" applyAlignment="1">
      <alignment horizontal="center" vertical="center" wrapText="1"/>
    </xf>
    <xf numFmtId="0" fontId="220" fillId="52" borderId="0" xfId="8" applyFont="1" applyFill="1" applyAlignment="1">
      <alignment vertical="center" wrapText="1"/>
    </xf>
    <xf numFmtId="263" fontId="220" fillId="52" borderId="0" xfId="1250" applyNumberFormat="1" applyFont="1" applyFill="1" applyAlignment="1">
      <alignment vertical="center" wrapText="1"/>
    </xf>
    <xf numFmtId="291" fontId="220" fillId="52" borderId="0" xfId="1250" applyNumberFormat="1" applyFont="1" applyFill="1" applyAlignment="1">
      <alignment vertical="center" wrapText="1"/>
    </xf>
    <xf numFmtId="180" fontId="220" fillId="52" borderId="0" xfId="1250" applyNumberFormat="1" applyFont="1" applyFill="1" applyAlignment="1">
      <alignment vertical="center" wrapText="1"/>
    </xf>
    <xf numFmtId="4" fontId="220" fillId="52" borderId="0" xfId="8" applyNumberFormat="1" applyFont="1" applyFill="1" applyAlignment="1">
      <alignment vertical="center" wrapText="1"/>
    </xf>
    <xf numFmtId="3" fontId="220" fillId="52" borderId="0" xfId="8" applyNumberFormat="1" applyFont="1" applyFill="1" applyAlignment="1">
      <alignment vertical="center" wrapText="1"/>
    </xf>
    <xf numFmtId="0" fontId="222" fillId="0" borderId="0" xfId="963" applyFont="1" applyAlignment="1">
      <alignment vertical="center"/>
    </xf>
    <xf numFmtId="0" fontId="222" fillId="0" borderId="0" xfId="963" applyFont="1" applyAlignment="1">
      <alignment horizontal="center" vertical="center"/>
    </xf>
    <xf numFmtId="0" fontId="223" fillId="52" borderId="0" xfId="963" applyFont="1" applyFill="1" applyAlignment="1">
      <alignment vertical="center" wrapText="1"/>
    </xf>
    <xf numFmtId="0" fontId="224" fillId="52" borderId="0" xfId="963" applyFont="1" applyFill="1" applyAlignment="1">
      <alignment horizontal="center" vertical="center" wrapText="1"/>
    </xf>
    <xf numFmtId="0" fontId="223" fillId="52" borderId="0" xfId="963" applyFont="1" applyFill="1" applyBorder="1" applyAlignment="1">
      <alignment horizontal="center" vertical="center"/>
    </xf>
    <xf numFmtId="0" fontId="222" fillId="52" borderId="0" xfId="963" applyFont="1" applyFill="1" applyBorder="1" applyAlignment="1">
      <alignment vertical="center" wrapText="1"/>
    </xf>
    <xf numFmtId="0" fontId="222" fillId="52" borderId="0" xfId="963" applyFont="1" applyFill="1" applyBorder="1" applyAlignment="1">
      <alignment horizontal="center" vertical="center" wrapText="1"/>
    </xf>
    <xf numFmtId="0" fontId="222" fillId="52" borderId="0" xfId="963" applyFont="1" applyFill="1" applyBorder="1" applyAlignment="1">
      <alignment horizontal="center" vertical="center"/>
    </xf>
    <xf numFmtId="0" fontId="222" fillId="52" borderId="0" xfId="963" applyFont="1" applyFill="1" applyBorder="1" applyAlignment="1">
      <alignment vertical="center"/>
    </xf>
    <xf numFmtId="0" fontId="222" fillId="52" borderId="0" xfId="963" applyFont="1" applyFill="1" applyAlignment="1">
      <alignment vertical="center"/>
    </xf>
    <xf numFmtId="263" fontId="222" fillId="52" borderId="0" xfId="974" applyNumberFormat="1" applyFont="1" applyFill="1" applyAlignment="1">
      <alignment vertical="center"/>
    </xf>
    <xf numFmtId="263" fontId="222" fillId="52" borderId="0" xfId="974" applyNumberFormat="1" applyFont="1" applyFill="1" applyBorder="1" applyAlignment="1">
      <alignment vertical="center"/>
    </xf>
    <xf numFmtId="263" fontId="222" fillId="0" borderId="0" xfId="963" applyNumberFormat="1" applyFont="1" applyAlignment="1">
      <alignment vertical="center"/>
    </xf>
    <xf numFmtId="0" fontId="223" fillId="52" borderId="1" xfId="963" applyFont="1" applyFill="1" applyBorder="1" applyAlignment="1">
      <alignment horizontal="center" vertical="center" wrapText="1"/>
    </xf>
    <xf numFmtId="263" fontId="223" fillId="52" borderId="1" xfId="974" applyNumberFormat="1" applyFont="1" applyFill="1" applyBorder="1" applyAlignment="1">
      <alignment horizontal="center" vertical="center" wrapText="1"/>
    </xf>
    <xf numFmtId="0" fontId="223" fillId="52" borderId="16" xfId="963" applyFont="1" applyFill="1" applyBorder="1" applyAlignment="1">
      <alignment horizontal="center" vertical="center" wrapText="1"/>
    </xf>
    <xf numFmtId="263" fontId="223" fillId="52" borderId="16" xfId="963" applyNumberFormat="1" applyFont="1" applyFill="1" applyBorder="1" applyAlignment="1">
      <alignment horizontal="center" vertical="center" wrapText="1"/>
    </xf>
    <xf numFmtId="0" fontId="222" fillId="0" borderId="16" xfId="963" applyFont="1" applyBorder="1" applyAlignment="1">
      <alignment vertical="center" wrapText="1"/>
    </xf>
    <xf numFmtId="0" fontId="223" fillId="52" borderId="16" xfId="963" applyFont="1" applyFill="1" applyBorder="1" applyAlignment="1">
      <alignment horizontal="center" vertical="center"/>
    </xf>
    <xf numFmtId="0" fontId="223" fillId="52" borderId="16" xfId="963" applyFont="1" applyFill="1" applyBorder="1" applyAlignment="1">
      <alignment vertical="center" wrapText="1"/>
    </xf>
    <xf numFmtId="263" fontId="223" fillId="52" borderId="16" xfId="974" applyNumberFormat="1" applyFont="1" applyFill="1" applyBorder="1" applyAlignment="1">
      <alignment vertical="center"/>
    </xf>
    <xf numFmtId="263" fontId="222" fillId="0" borderId="16" xfId="963" applyNumberFormat="1" applyFont="1" applyBorder="1" applyAlignment="1">
      <alignment vertical="center"/>
    </xf>
    <xf numFmtId="0" fontId="222" fillId="52" borderId="16" xfId="963" applyFont="1" applyFill="1" applyBorder="1" applyAlignment="1">
      <alignment horizontal="center" vertical="center"/>
    </xf>
    <xf numFmtId="0" fontId="266" fillId="52" borderId="16" xfId="963" applyFont="1" applyFill="1" applyBorder="1" applyAlignment="1">
      <alignment vertical="center" wrapText="1"/>
    </xf>
    <xf numFmtId="0" fontId="222" fillId="52" borderId="16" xfId="963" applyFont="1" applyFill="1" applyBorder="1" applyAlignment="1">
      <alignment horizontal="center" vertical="center" wrapText="1"/>
    </xf>
    <xf numFmtId="263" fontId="222" fillId="52" borderId="16" xfId="974" applyNumberFormat="1" applyFont="1" applyFill="1" applyBorder="1" applyAlignment="1">
      <alignment vertical="center"/>
    </xf>
    <xf numFmtId="263" fontId="222" fillId="0" borderId="16" xfId="974" applyNumberFormat="1" applyFont="1" applyBorder="1" applyAlignment="1">
      <alignment vertical="center"/>
    </xf>
    <xf numFmtId="0" fontId="222" fillId="52" borderId="16" xfId="963" applyFont="1" applyFill="1" applyBorder="1" applyAlignment="1">
      <alignment vertical="center" wrapText="1"/>
    </xf>
    <xf numFmtId="0" fontId="222" fillId="0" borderId="16" xfId="963" applyFont="1" applyBorder="1" applyAlignment="1">
      <alignment vertical="center"/>
    </xf>
    <xf numFmtId="0" fontId="267" fillId="52" borderId="16" xfId="963" applyFont="1" applyFill="1" applyBorder="1" applyAlignment="1">
      <alignment vertical="center" wrapText="1"/>
    </xf>
    <xf numFmtId="263" fontId="222" fillId="0" borderId="16" xfId="974" applyNumberFormat="1" applyFont="1" applyBorder="1" applyAlignment="1">
      <alignment horizontal="center" vertical="center"/>
    </xf>
    <xf numFmtId="0" fontId="222" fillId="52" borderId="16" xfId="963" applyFont="1" applyFill="1" applyBorder="1" applyAlignment="1">
      <alignment horizontal="left" vertical="center" wrapText="1"/>
    </xf>
    <xf numFmtId="0" fontId="224" fillId="52" borderId="16" xfId="963" applyFont="1" applyFill="1" applyBorder="1" applyAlignment="1">
      <alignment horizontal="center" vertical="center"/>
    </xf>
    <xf numFmtId="0" fontId="224" fillId="52" borderId="16" xfId="963" applyFont="1" applyFill="1" applyBorder="1" applyAlignment="1">
      <alignment horizontal="center" vertical="center" wrapText="1"/>
    </xf>
    <xf numFmtId="3" fontId="222" fillId="0" borderId="16" xfId="963" applyNumberFormat="1" applyFont="1" applyBorder="1" applyAlignment="1">
      <alignment horizontal="center" vertical="center"/>
    </xf>
    <xf numFmtId="3" fontId="224" fillId="0" borderId="16" xfId="963" applyNumberFormat="1" applyFont="1" applyBorder="1" applyAlignment="1">
      <alignment vertical="center"/>
    </xf>
    <xf numFmtId="0" fontId="224" fillId="0" borderId="16" xfId="963" applyFont="1" applyBorder="1" applyAlignment="1">
      <alignment vertical="center" wrapText="1"/>
    </xf>
    <xf numFmtId="0" fontId="224" fillId="0" borderId="0" xfId="963" applyFont="1" applyAlignment="1">
      <alignment vertical="center"/>
    </xf>
    <xf numFmtId="263" fontId="223" fillId="0" borderId="16" xfId="963" applyNumberFormat="1" applyFont="1" applyBorder="1" applyAlignment="1">
      <alignment vertical="center"/>
    </xf>
    <xf numFmtId="0" fontId="267" fillId="52" borderId="16" xfId="963" applyFont="1" applyFill="1" applyBorder="1" applyAlignment="1">
      <alignment horizontal="center" vertical="center" wrapText="1"/>
    </xf>
    <xf numFmtId="263" fontId="223" fillId="52" borderId="16" xfId="974" applyNumberFormat="1" applyFont="1" applyFill="1" applyBorder="1" applyAlignment="1">
      <alignment horizontal="center" vertical="center"/>
    </xf>
    <xf numFmtId="3" fontId="222" fillId="52" borderId="16" xfId="963" applyNumberFormat="1" applyFont="1" applyFill="1" applyBorder="1" applyAlignment="1">
      <alignment horizontal="right" vertical="center" wrapText="1"/>
    </xf>
    <xf numFmtId="263" fontId="222" fillId="52" borderId="16" xfId="963" applyNumberFormat="1" applyFont="1" applyFill="1" applyBorder="1" applyAlignment="1">
      <alignment vertical="center"/>
    </xf>
    <xf numFmtId="0" fontId="223" fillId="52" borderId="16" xfId="963" applyFont="1" applyFill="1" applyBorder="1" applyAlignment="1">
      <alignment vertical="center"/>
    </xf>
    <xf numFmtId="263" fontId="223" fillId="52" borderId="16" xfId="963" applyNumberFormat="1" applyFont="1" applyFill="1" applyBorder="1" applyAlignment="1">
      <alignment vertical="center"/>
    </xf>
    <xf numFmtId="0" fontId="267" fillId="52" borderId="16" xfId="963" applyFont="1" applyFill="1" applyBorder="1" applyAlignment="1">
      <alignment horizontal="center" vertical="center"/>
    </xf>
    <xf numFmtId="3" fontId="267" fillId="52" borderId="16" xfId="1411" applyNumberFormat="1" applyFont="1" applyFill="1" applyBorder="1" applyAlignment="1">
      <alignment horizontal="center" vertical="center" wrapText="1"/>
    </xf>
    <xf numFmtId="263" fontId="223" fillId="52" borderId="16" xfId="974" applyNumberFormat="1" applyFont="1" applyFill="1" applyBorder="1" applyAlignment="1">
      <alignment horizontal="center" vertical="center" wrapText="1"/>
    </xf>
    <xf numFmtId="263" fontId="223" fillId="52" borderId="16" xfId="974" applyNumberFormat="1" applyFont="1" applyFill="1" applyBorder="1" applyAlignment="1">
      <alignment vertical="center" wrapText="1"/>
    </xf>
    <xf numFmtId="263" fontId="222" fillId="52" borderId="16" xfId="974" applyNumberFormat="1" applyFont="1" applyFill="1" applyBorder="1" applyAlignment="1">
      <alignment vertical="center" wrapText="1"/>
    </xf>
    <xf numFmtId="0" fontId="267" fillId="52" borderId="16" xfId="1412" applyFont="1" applyFill="1" applyBorder="1" applyAlignment="1">
      <alignment horizontal="left" vertical="center" wrapText="1"/>
    </xf>
    <xf numFmtId="0" fontId="222" fillId="52" borderId="16" xfId="1413" applyFont="1" applyFill="1" applyBorder="1" applyAlignment="1">
      <alignment horizontal="center" vertical="center"/>
    </xf>
    <xf numFmtId="0" fontId="222" fillId="52" borderId="16" xfId="1412" applyFont="1" applyFill="1" applyBorder="1" applyAlignment="1">
      <alignment horizontal="left" vertical="center" wrapText="1"/>
    </xf>
    <xf numFmtId="0" fontId="222" fillId="52" borderId="16" xfId="1412" applyFont="1" applyFill="1" applyBorder="1" applyAlignment="1">
      <alignment horizontal="center" vertical="center" wrapText="1"/>
    </xf>
    <xf numFmtId="0" fontId="267" fillId="0" borderId="16" xfId="963" applyFont="1" applyFill="1" applyBorder="1" applyAlignment="1">
      <alignment vertical="center" wrapText="1"/>
    </xf>
    <xf numFmtId="49" fontId="267" fillId="0" borderId="16" xfId="974" applyNumberFormat="1" applyFont="1" applyFill="1" applyBorder="1" applyAlignment="1">
      <alignment horizontal="center" vertical="center" wrapText="1"/>
    </xf>
    <xf numFmtId="49" fontId="222" fillId="0" borderId="16" xfId="963" applyNumberFormat="1" applyFont="1" applyFill="1" applyBorder="1" applyAlignment="1">
      <alignment horizontal="center" vertical="center" wrapText="1"/>
    </xf>
    <xf numFmtId="0" fontId="222" fillId="52" borderId="0" xfId="963" applyFont="1" applyFill="1" applyAlignment="1">
      <alignment horizontal="center" vertical="center"/>
    </xf>
    <xf numFmtId="263" fontId="223" fillId="52" borderId="0" xfId="974" applyNumberFormat="1" applyFont="1" applyFill="1" applyAlignment="1">
      <alignment horizontal="center" vertical="center"/>
    </xf>
    <xf numFmtId="263" fontId="222" fillId="52" borderId="0" xfId="974" applyNumberFormat="1" applyFont="1" applyFill="1" applyBorder="1" applyAlignment="1">
      <alignment horizontal="center" vertical="center" wrapText="1"/>
    </xf>
    <xf numFmtId="0" fontId="223" fillId="52" borderId="0" xfId="963" applyFont="1" applyFill="1" applyBorder="1" applyAlignment="1">
      <alignment vertical="center" wrapText="1"/>
    </xf>
    <xf numFmtId="0" fontId="223" fillId="63" borderId="0" xfId="963" applyFont="1" applyFill="1" applyBorder="1" applyAlignment="1">
      <alignment horizontal="center" vertical="center"/>
    </xf>
    <xf numFmtId="263" fontId="223" fillId="52" borderId="0" xfId="974" applyNumberFormat="1" applyFont="1" applyFill="1" applyBorder="1" applyAlignment="1">
      <alignment horizontal="center" vertical="center" wrapText="1"/>
    </xf>
    <xf numFmtId="0" fontId="222" fillId="0" borderId="0" xfId="963" applyFont="1" applyBorder="1" applyAlignment="1">
      <alignment vertical="center"/>
    </xf>
    <xf numFmtId="263" fontId="222" fillId="0" borderId="0" xfId="974" applyNumberFormat="1" applyFont="1" applyBorder="1" applyAlignment="1">
      <alignment horizontal="center" vertical="center"/>
    </xf>
    <xf numFmtId="0" fontId="222" fillId="0" borderId="0" xfId="963" applyFont="1" applyBorder="1" applyAlignment="1">
      <alignment horizontal="center" vertical="center"/>
    </xf>
    <xf numFmtId="263" fontId="222" fillId="0" borderId="0" xfId="974" applyNumberFormat="1" applyFont="1" applyAlignment="1">
      <alignment horizontal="center" vertical="center"/>
    </xf>
    <xf numFmtId="180" fontId="225" fillId="52" borderId="18" xfId="1250" applyNumberFormat="1" applyFont="1" applyFill="1" applyBorder="1" applyAlignment="1">
      <alignment horizontal="center" vertical="center" wrapText="1"/>
    </xf>
    <xf numFmtId="180" fontId="227" fillId="52" borderId="18" xfId="1250" applyNumberFormat="1" applyFont="1" applyFill="1" applyBorder="1" applyAlignment="1">
      <alignment vertical="center" wrapText="1"/>
    </xf>
    <xf numFmtId="180" fontId="227" fillId="52" borderId="76" xfId="1250" applyNumberFormat="1" applyFont="1" applyFill="1" applyBorder="1" applyAlignment="1">
      <alignment vertical="center" wrapText="1"/>
    </xf>
    <xf numFmtId="180" fontId="225" fillId="52" borderId="76" xfId="1250" applyNumberFormat="1" applyFont="1" applyFill="1" applyBorder="1" applyAlignment="1">
      <alignment horizontal="center" vertical="center" wrapText="1"/>
    </xf>
    <xf numFmtId="263" fontId="0" fillId="0" borderId="0" xfId="0" applyNumberFormat="1"/>
    <xf numFmtId="180" fontId="260" fillId="0" borderId="18" xfId="1250" applyNumberFormat="1" applyFont="1" applyFill="1" applyBorder="1" applyAlignment="1">
      <alignment horizontal="center" vertical="center" wrapText="1"/>
    </xf>
    <xf numFmtId="180" fontId="14" fillId="0" borderId="18" xfId="1250" applyNumberFormat="1" applyFont="1" applyFill="1" applyBorder="1" applyAlignment="1">
      <alignment horizontal="center" vertical="center" wrapText="1"/>
    </xf>
    <xf numFmtId="180" fontId="225" fillId="0" borderId="18" xfId="1250" applyNumberFormat="1" applyFont="1" applyFill="1" applyBorder="1" applyAlignment="1">
      <alignment horizontal="center" vertical="center" wrapText="1"/>
    </xf>
    <xf numFmtId="0" fontId="220" fillId="52" borderId="16" xfId="0" applyFont="1" applyFill="1" applyBorder="1" applyAlignment="1">
      <alignment vertical="center" wrapText="1"/>
    </xf>
    <xf numFmtId="263" fontId="220" fillId="52" borderId="16" xfId="1250" applyNumberFormat="1" applyFont="1" applyFill="1" applyBorder="1" applyAlignment="1">
      <alignment vertical="center" wrapText="1"/>
    </xf>
    <xf numFmtId="0" fontId="14" fillId="52" borderId="16" xfId="0" applyFont="1" applyFill="1" applyBorder="1" applyAlignment="1">
      <alignment vertical="center" wrapText="1"/>
    </xf>
    <xf numFmtId="263" fontId="269" fillId="52" borderId="16" xfId="1250" applyNumberFormat="1" applyFont="1" applyFill="1" applyBorder="1" applyAlignment="1">
      <alignment vertical="center" wrapText="1"/>
    </xf>
    <xf numFmtId="263" fontId="14" fillId="52" borderId="16" xfId="1250" applyNumberFormat="1" applyFont="1" applyFill="1" applyBorder="1" applyAlignment="1">
      <alignment vertical="center" wrapText="1"/>
    </xf>
    <xf numFmtId="3" fontId="42" fillId="0" borderId="16" xfId="0" applyNumberFormat="1" applyFont="1" applyBorder="1"/>
    <xf numFmtId="263" fontId="204" fillId="52" borderId="16" xfId="1250" applyNumberFormat="1" applyFont="1" applyFill="1" applyBorder="1" applyAlignment="1">
      <alignment vertical="center" wrapText="1"/>
    </xf>
    <xf numFmtId="263" fontId="269" fillId="52" borderId="0" xfId="1250" applyNumberFormat="1" applyFont="1" applyFill="1" applyAlignment="1">
      <alignment vertical="center" wrapText="1"/>
    </xf>
    <xf numFmtId="263" fontId="225" fillId="52" borderId="0" xfId="1250" applyNumberFormat="1" applyFont="1" applyFill="1" applyAlignment="1">
      <alignment vertical="center" wrapText="1"/>
    </xf>
    <xf numFmtId="263" fontId="260" fillId="52" borderId="0" xfId="1250" applyNumberFormat="1" applyFont="1" applyFill="1" applyAlignment="1">
      <alignment vertical="center" wrapText="1"/>
    </xf>
    <xf numFmtId="263" fontId="14" fillId="52" borderId="0" xfId="8" applyNumberFormat="1" applyFont="1" applyFill="1" applyAlignment="1">
      <alignment vertical="center" wrapText="1"/>
    </xf>
    <xf numFmtId="0" fontId="225" fillId="52" borderId="0" xfId="8" applyFont="1" applyFill="1" applyAlignment="1">
      <alignment vertical="center" wrapText="1"/>
    </xf>
    <xf numFmtId="0" fontId="239" fillId="0" borderId="0" xfId="0" applyFont="1"/>
    <xf numFmtId="0" fontId="260" fillId="52" borderId="1" xfId="8" applyFont="1" applyFill="1" applyBorder="1" applyAlignment="1">
      <alignment vertical="center" wrapText="1"/>
    </xf>
    <xf numFmtId="263" fontId="260" fillId="52" borderId="1" xfId="1250" applyNumberFormat="1" applyFont="1" applyFill="1" applyBorder="1" applyAlignment="1">
      <alignment vertical="center" wrapText="1"/>
    </xf>
    <xf numFmtId="180" fontId="260" fillId="52" borderId="1" xfId="1250" applyNumberFormat="1" applyFont="1" applyFill="1" applyBorder="1" applyAlignment="1">
      <alignment vertical="center" wrapText="1"/>
    </xf>
    <xf numFmtId="0" fontId="245" fillId="0" borderId="0" xfId="0" applyFont="1" applyFill="1" applyAlignment="1">
      <alignment horizontal="center"/>
    </xf>
    <xf numFmtId="0" fontId="245" fillId="0" borderId="0" xfId="0" applyFont="1" applyFill="1"/>
    <xf numFmtId="263" fontId="245" fillId="0" borderId="0" xfId="0" applyNumberFormat="1" applyFont="1" applyFill="1"/>
    <xf numFmtId="263" fontId="245" fillId="0" borderId="14" xfId="0" applyNumberFormat="1" applyFont="1" applyFill="1" applyBorder="1" applyAlignment="1">
      <alignment horizontal="center"/>
    </xf>
    <xf numFmtId="263" fontId="245" fillId="0" borderId="0" xfId="0" applyNumberFormat="1" applyFont="1" applyFill="1" applyBorder="1" applyAlignment="1">
      <alignment horizontal="center"/>
    </xf>
    <xf numFmtId="0" fontId="247" fillId="0" borderId="8" xfId="3" applyNumberFormat="1" applyFont="1" applyFill="1" applyBorder="1" applyAlignment="1">
      <alignment horizontal="center" vertical="center" wrapText="1"/>
    </xf>
    <xf numFmtId="0" fontId="247" fillId="0" borderId="14" xfId="3" applyNumberFormat="1" applyFont="1" applyFill="1" applyBorder="1" applyAlignment="1">
      <alignment horizontal="center" vertical="center" wrapText="1"/>
    </xf>
    <xf numFmtId="0" fontId="247" fillId="0" borderId="1" xfId="3" applyNumberFormat="1" applyFont="1" applyFill="1" applyBorder="1" applyAlignment="1">
      <alignment horizontal="center" vertical="center" wrapText="1"/>
    </xf>
    <xf numFmtId="0" fontId="247" fillId="0" borderId="6" xfId="3" applyNumberFormat="1" applyFont="1" applyFill="1" applyBorder="1" applyAlignment="1">
      <alignment horizontal="center" vertical="center" wrapText="1"/>
    </xf>
    <xf numFmtId="0" fontId="247" fillId="0" borderId="11" xfId="3" applyNumberFormat="1" applyFont="1" applyFill="1" applyBorder="1" applyAlignment="1">
      <alignment horizontal="center" vertical="center" wrapText="1"/>
    </xf>
    <xf numFmtId="0" fontId="247" fillId="0" borderId="1" xfId="0" applyNumberFormat="1" applyFont="1" applyFill="1" applyBorder="1" applyAlignment="1">
      <alignment horizontal="right" vertical="center"/>
    </xf>
    <xf numFmtId="0" fontId="247" fillId="0" borderId="9" xfId="4" applyNumberFormat="1" applyFont="1" applyFill="1" applyBorder="1" applyAlignment="1">
      <alignment horizontal="center" vertical="center" wrapText="1"/>
    </xf>
    <xf numFmtId="0" fontId="247" fillId="0" borderId="1" xfId="4" applyNumberFormat="1" applyFont="1" applyFill="1" applyBorder="1" applyAlignment="1">
      <alignment horizontal="center" vertical="center" wrapText="1"/>
    </xf>
    <xf numFmtId="0" fontId="243" fillId="0" borderId="1" xfId="3" applyNumberFormat="1" applyFont="1" applyFill="1" applyBorder="1" applyAlignment="1">
      <alignment horizontal="right" vertical="center" wrapText="1"/>
    </xf>
    <xf numFmtId="0" fontId="243" fillId="0" borderId="1" xfId="0" applyNumberFormat="1" applyFont="1" applyFill="1" applyBorder="1" applyAlignment="1">
      <alignment horizontal="right" vertical="center"/>
    </xf>
    <xf numFmtId="0" fontId="243" fillId="0" borderId="9" xfId="4" applyNumberFormat="1" applyFont="1" applyFill="1" applyBorder="1" applyAlignment="1">
      <alignment horizontal="right" vertical="center" wrapText="1"/>
    </xf>
    <xf numFmtId="0" fontId="243" fillId="0" borderId="1" xfId="4" applyNumberFormat="1" applyFont="1" applyFill="1" applyBorder="1" applyAlignment="1">
      <alignment horizontal="right" vertical="center" wrapText="1"/>
    </xf>
    <xf numFmtId="0" fontId="247" fillId="0" borderId="16" xfId="2" applyNumberFormat="1" applyFont="1" applyFill="1" applyBorder="1" applyAlignment="1">
      <alignment horizontal="center" vertical="center" wrapText="1"/>
    </xf>
    <xf numFmtId="0" fontId="247" fillId="0" borderId="16" xfId="0" applyFont="1" applyFill="1" applyBorder="1" applyAlignment="1">
      <alignment horizontal="center"/>
    </xf>
    <xf numFmtId="0" fontId="247" fillId="0" borderId="16" xfId="2" applyNumberFormat="1" applyFont="1" applyFill="1" applyBorder="1" applyAlignment="1">
      <alignment vertical="center" wrapText="1"/>
    </xf>
    <xf numFmtId="263" fontId="247" fillId="0" borderId="16" xfId="3" applyNumberFormat="1" applyFont="1" applyFill="1" applyBorder="1" applyAlignment="1" applyProtection="1">
      <alignment horizontal="center" vertical="center" wrapText="1"/>
    </xf>
    <xf numFmtId="0" fontId="270" fillId="0" borderId="16" xfId="3" applyNumberFormat="1" applyFont="1" applyFill="1" applyBorder="1" applyAlignment="1">
      <alignment horizontal="right" vertical="center" wrapText="1"/>
    </xf>
    <xf numFmtId="0" fontId="270" fillId="0" borderId="16" xfId="0" applyNumberFormat="1" applyFont="1" applyFill="1" applyBorder="1" applyAlignment="1">
      <alignment horizontal="right" vertical="center"/>
    </xf>
    <xf numFmtId="0" fontId="270" fillId="0" borderId="16" xfId="4" applyNumberFormat="1" applyFont="1" applyFill="1" applyBorder="1" applyAlignment="1">
      <alignment horizontal="right" vertical="center" wrapText="1"/>
    </xf>
    <xf numFmtId="263" fontId="247" fillId="0" borderId="16" xfId="962" applyNumberFormat="1" applyFont="1" applyFill="1" applyBorder="1" applyAlignment="1">
      <alignment vertical="center" wrapText="1"/>
    </xf>
    <xf numFmtId="263" fontId="247" fillId="0" borderId="16" xfId="962" applyNumberFormat="1" applyFont="1" applyFill="1" applyBorder="1" applyAlignment="1" applyProtection="1">
      <alignment horizontal="right" vertical="center" wrapText="1"/>
    </xf>
    <xf numFmtId="0" fontId="243" fillId="0" borderId="16" xfId="0" applyFont="1" applyFill="1" applyBorder="1" applyAlignment="1">
      <alignment horizontal="center" vertical="center"/>
    </xf>
    <xf numFmtId="0" fontId="243" fillId="0" borderId="16" xfId="0" applyFont="1" applyFill="1" applyBorder="1" applyAlignment="1">
      <alignment horizontal="center"/>
    </xf>
    <xf numFmtId="263" fontId="243" fillId="0" borderId="16" xfId="962" applyNumberFormat="1" applyFont="1" applyFill="1" applyBorder="1" applyAlignment="1">
      <alignment vertical="center" wrapText="1"/>
    </xf>
    <xf numFmtId="263" fontId="243" fillId="0" borderId="16" xfId="962" applyNumberFormat="1" applyFont="1" applyFill="1" applyBorder="1" applyAlignment="1" applyProtection="1">
      <alignment horizontal="right" vertical="center" wrapText="1"/>
    </xf>
    <xf numFmtId="263" fontId="243" fillId="0" borderId="16" xfId="962" applyNumberFormat="1" applyFont="1" applyFill="1" applyBorder="1" applyAlignment="1">
      <alignment horizontal="right" vertical="center" wrapText="1"/>
    </xf>
    <xf numFmtId="263" fontId="243" fillId="0" borderId="16" xfId="0" applyNumberFormat="1" applyFont="1" applyFill="1" applyBorder="1" applyAlignment="1">
      <alignment horizontal="right" vertical="center"/>
    </xf>
    <xf numFmtId="0" fontId="243" fillId="0" borderId="16" xfId="2" applyNumberFormat="1" applyFont="1" applyFill="1" applyBorder="1" applyAlignment="1">
      <alignment horizontal="center" vertical="center" wrapText="1"/>
    </xf>
    <xf numFmtId="263" fontId="243" fillId="0" borderId="16" xfId="3" applyNumberFormat="1" applyFont="1" applyFill="1" applyBorder="1" applyAlignment="1" applyProtection="1">
      <alignment horizontal="center" vertical="center" wrapText="1"/>
    </xf>
    <xf numFmtId="0" fontId="243" fillId="0" borderId="16" xfId="3" applyNumberFormat="1" applyFont="1" applyFill="1" applyBorder="1" applyAlignment="1">
      <alignment horizontal="right" vertical="center" wrapText="1"/>
    </xf>
    <xf numFmtId="0" fontId="243" fillId="0" borderId="4" xfId="2" applyNumberFormat="1" applyFont="1" applyFill="1" applyBorder="1" applyAlignment="1">
      <alignment horizontal="center" vertical="center" wrapText="1"/>
    </xf>
    <xf numFmtId="0" fontId="243" fillId="0" borderId="2" xfId="2" applyNumberFormat="1" applyFont="1" applyFill="1" applyBorder="1" applyAlignment="1">
      <alignment horizontal="center" vertical="center" wrapText="1"/>
    </xf>
    <xf numFmtId="0" fontId="247" fillId="0" borderId="2" xfId="2" applyNumberFormat="1" applyFont="1" applyFill="1" applyBorder="1" applyAlignment="1">
      <alignment vertical="center" wrapText="1"/>
    </xf>
    <xf numFmtId="0" fontId="245" fillId="0" borderId="2" xfId="2" applyNumberFormat="1" applyFont="1" applyFill="1" applyBorder="1" applyAlignment="1">
      <alignment vertical="center" wrapText="1"/>
    </xf>
    <xf numFmtId="0" fontId="243" fillId="0" borderId="3" xfId="2" applyNumberFormat="1" applyFont="1" applyFill="1" applyBorder="1" applyAlignment="1">
      <alignment horizontal="center" vertical="center" wrapText="1"/>
    </xf>
    <xf numFmtId="0" fontId="247" fillId="0" borderId="16" xfId="0" applyFont="1" applyFill="1" applyBorder="1" applyAlignment="1">
      <alignment vertical="center" wrapText="1"/>
    </xf>
    <xf numFmtId="0" fontId="245" fillId="0" borderId="16" xfId="2" applyNumberFormat="1" applyFont="1" applyFill="1" applyBorder="1" applyAlignment="1">
      <alignment horizontal="left" vertical="center" wrapText="1"/>
    </xf>
    <xf numFmtId="263" fontId="245" fillId="0" borderId="16" xfId="962" applyNumberFormat="1" applyFont="1" applyFill="1" applyBorder="1" applyAlignment="1" applyProtection="1">
      <alignment horizontal="right" vertical="center" wrapText="1"/>
    </xf>
    <xf numFmtId="0" fontId="243" fillId="0" borderId="16" xfId="2" applyNumberFormat="1" applyFont="1" applyFill="1" applyBorder="1" applyAlignment="1">
      <alignment horizontal="left" vertical="center" wrapText="1"/>
    </xf>
    <xf numFmtId="263" fontId="243" fillId="0" borderId="16" xfId="962" applyNumberFormat="1" applyFont="1" applyFill="1" applyBorder="1"/>
    <xf numFmtId="263" fontId="271" fillId="0" borderId="16" xfId="962" applyNumberFormat="1" applyFont="1" applyFill="1" applyBorder="1"/>
    <xf numFmtId="263" fontId="243" fillId="0" borderId="16" xfId="962" applyNumberFormat="1" applyFont="1" applyFill="1" applyBorder="1" applyAlignment="1">
      <alignment horizontal="right" vertical="center"/>
    </xf>
    <xf numFmtId="0" fontId="245" fillId="0" borderId="16" xfId="2" applyNumberFormat="1" applyFont="1" applyFill="1" applyBorder="1" applyAlignment="1">
      <alignment horizontal="center" vertical="center" wrapText="1"/>
    </xf>
    <xf numFmtId="0" fontId="243" fillId="0" borderId="16" xfId="0" applyNumberFormat="1" applyFont="1" applyFill="1" applyBorder="1" applyAlignment="1">
      <alignment horizontal="center" vertical="center"/>
    </xf>
    <xf numFmtId="0" fontId="243" fillId="0" borderId="16" xfId="0" applyNumberFormat="1" applyFont="1" applyFill="1" applyBorder="1" applyAlignment="1">
      <alignment horizontal="left" vertical="center" wrapText="1"/>
    </xf>
    <xf numFmtId="263" fontId="271" fillId="0" borderId="16" xfId="962" applyNumberFormat="1" applyFont="1" applyFill="1" applyBorder="1" applyAlignment="1" applyProtection="1">
      <alignment horizontal="right" vertical="center" wrapText="1"/>
    </xf>
    <xf numFmtId="0" fontId="243" fillId="0" borderId="16" xfId="968" applyNumberFormat="1" applyFont="1" applyFill="1" applyBorder="1" applyAlignment="1">
      <alignment horizontal="center" vertical="center" wrapText="1"/>
    </xf>
    <xf numFmtId="0" fontId="245" fillId="0" borderId="16" xfId="968" applyNumberFormat="1" applyFont="1" applyFill="1" applyBorder="1" applyAlignment="1">
      <alignment horizontal="center" vertical="center" wrapText="1"/>
    </xf>
    <xf numFmtId="0" fontId="245" fillId="0" borderId="16" xfId="994" applyNumberFormat="1" applyFont="1" applyFill="1" applyBorder="1" applyAlignment="1">
      <alignment horizontal="left" vertical="center" wrapText="1"/>
    </xf>
    <xf numFmtId="263" fontId="272" fillId="0" borderId="16" xfId="962" applyNumberFormat="1" applyFont="1" applyFill="1" applyBorder="1" applyAlignment="1" applyProtection="1">
      <alignment horizontal="right" vertical="center" wrapText="1"/>
    </xf>
    <xf numFmtId="0" fontId="243" fillId="0" borderId="16" xfId="586" applyNumberFormat="1" applyFont="1" applyFill="1" applyBorder="1" applyAlignment="1">
      <alignment horizontal="justify" vertical="center"/>
    </xf>
    <xf numFmtId="0" fontId="243" fillId="0" borderId="16" xfId="968" applyNumberFormat="1" applyFont="1" applyFill="1" applyBorder="1" applyAlignment="1">
      <alignment horizontal="left" vertical="center" wrapText="1"/>
    </xf>
    <xf numFmtId="0" fontId="245" fillId="0" borderId="16" xfId="0" applyNumberFormat="1" applyFont="1" applyFill="1" applyBorder="1" applyAlignment="1">
      <alignment horizontal="left" vertical="center" wrapText="1"/>
    </xf>
    <xf numFmtId="0" fontId="245" fillId="0" borderId="16" xfId="0" applyNumberFormat="1" applyFont="1" applyFill="1" applyBorder="1" applyAlignment="1">
      <alignment horizontal="center" vertical="center"/>
    </xf>
    <xf numFmtId="0" fontId="243" fillId="0" borderId="16" xfId="968" applyNumberFormat="1" applyFont="1" applyFill="1" applyBorder="1" applyAlignment="1">
      <alignment vertical="center" wrapText="1"/>
    </xf>
    <xf numFmtId="0" fontId="245" fillId="0" borderId="16" xfId="968" applyNumberFormat="1" applyFont="1" applyFill="1" applyBorder="1" applyAlignment="1">
      <alignment horizontal="left" vertical="center" wrapText="1"/>
    </xf>
    <xf numFmtId="0" fontId="245" fillId="0" borderId="16" xfId="996" applyNumberFormat="1" applyFont="1" applyFill="1" applyBorder="1" applyAlignment="1">
      <alignment horizontal="left" vertical="center" wrapText="1"/>
    </xf>
    <xf numFmtId="0" fontId="247" fillId="0" borderId="16" xfId="0" applyFont="1" applyFill="1" applyBorder="1" applyAlignment="1">
      <alignment horizontal="center" vertical="center"/>
    </xf>
    <xf numFmtId="263" fontId="247" fillId="0" borderId="16" xfId="962" applyNumberFormat="1" applyFont="1" applyFill="1" applyBorder="1" applyAlignment="1">
      <alignment vertical="center"/>
    </xf>
    <xf numFmtId="0" fontId="247" fillId="0" borderId="16" xfId="0" applyFont="1" applyFill="1" applyBorder="1" applyAlignment="1">
      <alignment vertical="center"/>
    </xf>
    <xf numFmtId="0" fontId="192" fillId="24" borderId="5" xfId="2" applyNumberFormat="1" applyFont="1" applyFill="1" applyBorder="1" applyAlignment="1">
      <alignment horizontal="center" vertical="center" wrapText="1"/>
    </xf>
    <xf numFmtId="0" fontId="192" fillId="24" borderId="12" xfId="2" applyNumberFormat="1" applyFont="1" applyFill="1" applyBorder="1" applyAlignment="1">
      <alignment horizontal="center" vertical="center" wrapText="1"/>
    </xf>
    <xf numFmtId="0" fontId="192" fillId="24" borderId="1" xfId="2" applyNumberFormat="1" applyFont="1" applyFill="1" applyBorder="1" applyAlignment="1">
      <alignment horizontal="center" vertical="center" wrapText="1"/>
    </xf>
    <xf numFmtId="263" fontId="175" fillId="2" borderId="16" xfId="962" applyNumberFormat="1" applyFont="1" applyFill="1" applyBorder="1" applyAlignment="1">
      <alignment horizontal="right" vertical="center"/>
    </xf>
    <xf numFmtId="0" fontId="181" fillId="24" borderId="16" xfId="2" applyNumberFormat="1" applyFont="1" applyFill="1" applyBorder="1" applyAlignment="1">
      <alignment horizontal="center" vertical="center" wrapText="1"/>
    </xf>
    <xf numFmtId="0" fontId="181" fillId="24" borderId="54" xfId="0" applyNumberFormat="1" applyFont="1" applyFill="1" applyBorder="1" applyAlignment="1">
      <alignment horizontal="center" vertical="center"/>
    </xf>
    <xf numFmtId="0" fontId="181" fillId="24" borderId="4" xfId="0" applyNumberFormat="1" applyFont="1" applyFill="1" applyBorder="1" applyAlignment="1">
      <alignment horizontal="center" vertical="center"/>
    </xf>
    <xf numFmtId="0" fontId="181" fillId="24" borderId="56" xfId="2" applyNumberFormat="1" applyFont="1" applyFill="1" applyBorder="1" applyAlignment="1">
      <alignment horizontal="left" vertical="center" wrapText="1"/>
    </xf>
    <xf numFmtId="0" fontId="232" fillId="0" borderId="16" xfId="1418" applyNumberFormat="1" applyFont="1" applyFill="1" applyBorder="1" applyAlignment="1">
      <alignment horizontal="left" vertical="top" wrapText="1"/>
    </xf>
    <xf numFmtId="0" fontId="274" fillId="0" borderId="16" xfId="0" applyFont="1" applyFill="1" applyBorder="1" applyAlignment="1">
      <alignment vertical="center" wrapText="1"/>
    </xf>
    <xf numFmtId="0" fontId="274" fillId="0" borderId="16" xfId="0" applyFont="1" applyFill="1" applyBorder="1" applyAlignment="1">
      <alignment wrapText="1"/>
    </xf>
    <xf numFmtId="180" fontId="232" fillId="0" borderId="16" xfId="996" applyNumberFormat="1" applyFont="1" applyFill="1" applyBorder="1" applyAlignment="1">
      <alignment horizontal="right" vertical="center" wrapText="1"/>
    </xf>
    <xf numFmtId="180" fontId="274" fillId="0" borderId="16" xfId="0" applyNumberFormat="1" applyFont="1" applyFill="1" applyBorder="1" applyAlignment="1">
      <alignment horizontal="right" vertical="center"/>
    </xf>
    <xf numFmtId="180" fontId="274" fillId="0" borderId="16" xfId="0" applyNumberFormat="1" applyFont="1" applyFill="1" applyBorder="1" applyAlignment="1">
      <alignment horizontal="right"/>
    </xf>
    <xf numFmtId="3" fontId="232" fillId="0" borderId="16" xfId="0" applyNumberFormat="1" applyFont="1" applyFill="1" applyBorder="1" applyAlignment="1">
      <alignment vertical="center" wrapText="1"/>
    </xf>
    <xf numFmtId="0" fontId="232" fillId="0" borderId="16" xfId="0" applyFont="1" applyFill="1" applyBorder="1" applyAlignment="1">
      <alignment wrapText="1"/>
    </xf>
    <xf numFmtId="0" fontId="232" fillId="0" borderId="16" xfId="1418" applyNumberFormat="1" applyFont="1" applyFill="1" applyBorder="1" applyAlignment="1">
      <alignment horizontal="right" vertical="center" wrapText="1"/>
    </xf>
    <xf numFmtId="3" fontId="232" fillId="0" borderId="16" xfId="0" applyNumberFormat="1" applyFont="1" applyFill="1" applyBorder="1" applyAlignment="1">
      <alignment horizontal="right" vertical="center"/>
    </xf>
    <xf numFmtId="0" fontId="274" fillId="0" borderId="16" xfId="0" applyFont="1" applyFill="1" applyBorder="1" applyAlignment="1">
      <alignment horizontal="right" vertical="center"/>
    </xf>
    <xf numFmtId="0" fontId="274" fillId="0" borderId="16" xfId="0" applyFont="1" applyFill="1" applyBorder="1" applyAlignment="1">
      <alignment horizontal="right"/>
    </xf>
    <xf numFmtId="0" fontId="232" fillId="0" borderId="16" xfId="0" applyFont="1" applyFill="1" applyBorder="1" applyAlignment="1">
      <alignment horizontal="right" wrapText="1"/>
    </xf>
    <xf numFmtId="3" fontId="232" fillId="0" borderId="16" xfId="0" applyNumberFormat="1" applyFont="1" applyFill="1" applyBorder="1" applyAlignment="1">
      <alignment horizontal="right"/>
    </xf>
    <xf numFmtId="0" fontId="232" fillId="0" borderId="16" xfId="0" applyFont="1" applyFill="1" applyBorder="1" applyAlignment="1">
      <alignment horizontal="right"/>
    </xf>
    <xf numFmtId="0" fontId="232" fillId="0" borderId="16" xfId="0" applyFont="1" applyFill="1" applyBorder="1" applyAlignment="1">
      <alignment horizontal="right" vertical="center"/>
    </xf>
    <xf numFmtId="263" fontId="273" fillId="0" borderId="16" xfId="962" applyNumberFormat="1" applyFont="1" applyFill="1" applyBorder="1" applyAlignment="1">
      <alignment horizontal="left" vertical="center" wrapText="1"/>
    </xf>
    <xf numFmtId="0" fontId="277" fillId="0" borderId="16" xfId="0" applyNumberFormat="1" applyFont="1" applyFill="1" applyBorder="1" applyAlignment="1">
      <alignment horizontal="center" vertical="center"/>
    </xf>
    <xf numFmtId="0" fontId="274" fillId="0" borderId="16" xfId="0" applyNumberFormat="1" applyFont="1" applyFill="1" applyBorder="1" applyAlignment="1">
      <alignment horizontal="center" vertical="center"/>
    </xf>
    <xf numFmtId="0" fontId="276" fillId="0" borderId="16" xfId="2" applyNumberFormat="1" applyFont="1" applyFill="1" applyBorder="1" applyAlignment="1">
      <alignment horizontal="left" vertical="center" wrapText="1"/>
    </xf>
    <xf numFmtId="0" fontId="277" fillId="0" borderId="16" xfId="2" applyNumberFormat="1" applyFont="1" applyFill="1" applyBorder="1" applyAlignment="1">
      <alignment horizontal="left" vertical="center" wrapText="1"/>
    </xf>
    <xf numFmtId="0" fontId="232" fillId="0" borderId="16" xfId="968" applyNumberFormat="1" applyFont="1" applyFill="1" applyBorder="1" applyAlignment="1">
      <alignment horizontal="center" vertical="center" wrapText="1"/>
    </xf>
    <xf numFmtId="0" fontId="232" fillId="0" borderId="16" xfId="0" applyNumberFormat="1" applyFont="1" applyFill="1" applyBorder="1" applyAlignment="1">
      <alignment horizontal="center" vertical="center"/>
    </xf>
    <xf numFmtId="263" fontId="232" fillId="0" borderId="16" xfId="962" applyNumberFormat="1" applyFont="1" applyFill="1" applyBorder="1" applyAlignment="1">
      <alignment horizontal="right" vertical="center" wrapText="1"/>
    </xf>
    <xf numFmtId="0" fontId="277" fillId="0" borderId="16" xfId="968" applyNumberFormat="1" applyFont="1" applyFill="1" applyBorder="1" applyAlignment="1">
      <alignment horizontal="center" vertical="center" wrapText="1"/>
    </xf>
    <xf numFmtId="0" fontId="232" fillId="0" borderId="16" xfId="2" applyNumberFormat="1" applyFont="1" applyFill="1" applyBorder="1" applyAlignment="1">
      <alignment horizontal="left" vertical="center" wrapText="1"/>
    </xf>
    <xf numFmtId="0" fontId="232" fillId="0" borderId="16" xfId="998" applyNumberFormat="1" applyFont="1" applyFill="1" applyBorder="1" applyAlignment="1">
      <alignment horizontal="left" vertical="center" wrapText="1"/>
    </xf>
    <xf numFmtId="0" fontId="232" fillId="0" borderId="16" xfId="968" applyNumberFormat="1" applyFont="1" applyFill="1" applyBorder="1" applyAlignment="1">
      <alignment horizontal="left" vertical="center" wrapText="1"/>
    </xf>
    <xf numFmtId="263" fontId="232" fillId="0" borderId="16" xfId="962" applyNumberFormat="1" applyFont="1" applyFill="1" applyBorder="1" applyAlignment="1">
      <alignment vertical="center" wrapText="1"/>
    </xf>
    <xf numFmtId="0" fontId="277" fillId="0" borderId="16" xfId="0" applyNumberFormat="1" applyFont="1" applyFill="1" applyBorder="1" applyAlignment="1">
      <alignment horizontal="left" vertical="center" wrapText="1"/>
    </xf>
    <xf numFmtId="3" fontId="232" fillId="0" borderId="16" xfId="2" applyNumberFormat="1" applyFont="1" applyFill="1" applyBorder="1" applyAlignment="1">
      <alignment horizontal="justify" vertical="center" wrapText="1"/>
    </xf>
    <xf numFmtId="0" fontId="275" fillId="0" borderId="16" xfId="0" applyNumberFormat="1" applyFont="1" applyFill="1" applyBorder="1" applyAlignment="1">
      <alignment horizontal="center" vertical="center"/>
    </xf>
    <xf numFmtId="0" fontId="276" fillId="0" borderId="16" xfId="2" applyNumberFormat="1" applyFont="1" applyFill="1" applyBorder="1" applyAlignment="1">
      <alignment horizontal="center" vertical="center" wrapText="1"/>
    </xf>
    <xf numFmtId="0" fontId="276" fillId="0" borderId="16" xfId="0" applyNumberFormat="1" applyFont="1" applyFill="1" applyBorder="1" applyAlignment="1">
      <alignment horizontal="center" vertical="center"/>
    </xf>
    <xf numFmtId="0" fontId="274" fillId="0" borderId="16" xfId="0" applyFont="1" applyFill="1" applyBorder="1" applyAlignment="1">
      <alignment horizontal="center" vertical="center"/>
    </xf>
    <xf numFmtId="0" fontId="279" fillId="0" borderId="16" xfId="0" applyFont="1" applyFill="1" applyBorder="1" applyAlignment="1">
      <alignment horizontal="center" vertical="center"/>
    </xf>
    <xf numFmtId="0" fontId="274" fillId="0" borderId="16" xfId="0" applyFont="1" applyFill="1" applyBorder="1" applyAlignment="1">
      <alignment horizontal="center"/>
    </xf>
    <xf numFmtId="0" fontId="279" fillId="0" borderId="16" xfId="0" applyFont="1" applyFill="1" applyBorder="1" applyAlignment="1">
      <alignment horizontal="center"/>
    </xf>
    <xf numFmtId="0" fontId="0" fillId="0" borderId="16" xfId="0" applyBorder="1" applyAlignment="1">
      <alignment horizontal="center"/>
    </xf>
    <xf numFmtId="0" fontId="232" fillId="0" borderId="16" xfId="968" quotePrefix="1" applyNumberFormat="1" applyFont="1" applyFill="1" applyBorder="1" applyAlignment="1">
      <alignment horizontal="center" vertical="center" wrapText="1"/>
    </xf>
    <xf numFmtId="0" fontId="274" fillId="0" borderId="16" xfId="0" quotePrefix="1" applyNumberFormat="1" applyFont="1" applyFill="1" applyBorder="1" applyAlignment="1">
      <alignment horizontal="center" vertical="center"/>
    </xf>
    <xf numFmtId="0" fontId="274" fillId="0" borderId="16" xfId="0" applyFont="1" applyFill="1" applyBorder="1" applyAlignment="1">
      <alignment horizontal="center" vertical="center" wrapText="1"/>
    </xf>
    <xf numFmtId="0" fontId="279" fillId="0" borderId="16" xfId="0" applyFont="1" applyBorder="1" applyAlignment="1">
      <alignment horizontal="center" vertical="center"/>
    </xf>
    <xf numFmtId="0" fontId="274" fillId="0" borderId="16" xfId="0" applyFont="1" applyBorder="1" applyAlignment="1">
      <alignment horizontal="center" vertical="center"/>
    </xf>
    <xf numFmtId="0" fontId="225" fillId="52" borderId="0" xfId="968" applyFont="1" applyFill="1" applyAlignment="1">
      <alignment horizontal="center" vertical="center" wrapText="1"/>
    </xf>
    <xf numFmtId="0" fontId="225" fillId="52" borderId="0" xfId="968" applyFont="1" applyFill="1" applyAlignment="1">
      <alignment vertical="center" wrapText="1"/>
    </xf>
    <xf numFmtId="180" fontId="225" fillId="52" borderId="0" xfId="966" applyNumberFormat="1" applyFont="1" applyFill="1" applyAlignment="1">
      <alignment vertical="center" wrapText="1"/>
    </xf>
    <xf numFmtId="0" fontId="280" fillId="64" borderId="0" xfId="968" applyFont="1" applyFill="1" applyAlignment="1">
      <alignment horizontal="center" vertical="center" wrapText="1"/>
    </xf>
    <xf numFmtId="0" fontId="280" fillId="64" borderId="14" xfId="968" applyFont="1" applyFill="1" applyBorder="1" applyAlignment="1">
      <alignment vertical="center" wrapText="1"/>
    </xf>
    <xf numFmtId="180" fontId="220" fillId="64" borderId="16" xfId="966" applyNumberFormat="1" applyFont="1" applyFill="1" applyBorder="1" applyAlignment="1">
      <alignment horizontal="center" vertical="center" wrapText="1"/>
    </xf>
    <xf numFmtId="180" fontId="247" fillId="64" borderId="16" xfId="966" applyNumberFormat="1" applyFont="1" applyFill="1" applyBorder="1" applyAlignment="1">
      <alignment horizontal="center" vertical="center" wrapText="1"/>
    </xf>
    <xf numFmtId="0" fontId="247" fillId="64" borderId="16" xfId="968" applyFont="1" applyFill="1" applyBorder="1" applyAlignment="1">
      <alignment horizontal="center" vertical="center" wrapText="1"/>
    </xf>
    <xf numFmtId="0" fontId="220" fillId="52" borderId="1" xfId="968" applyFont="1" applyFill="1" applyBorder="1" applyAlignment="1">
      <alignment horizontal="center" vertical="center" wrapText="1"/>
    </xf>
    <xf numFmtId="173" fontId="220" fillId="52" borderId="16" xfId="968" applyNumberFormat="1" applyFont="1" applyFill="1" applyBorder="1" applyAlignment="1">
      <alignment horizontal="left" vertical="center" wrapText="1"/>
    </xf>
    <xf numFmtId="173" fontId="220" fillId="52" borderId="16" xfId="966" applyNumberFormat="1" applyFont="1" applyFill="1" applyBorder="1" applyAlignment="1">
      <alignment horizontal="right" vertical="center" wrapText="1"/>
    </xf>
    <xf numFmtId="0" fontId="225" fillId="0" borderId="0" xfId="0" applyFont="1"/>
    <xf numFmtId="0" fontId="281" fillId="0" borderId="16" xfId="0" applyFont="1" applyBorder="1" applyAlignment="1">
      <alignment vertical="center" wrapText="1"/>
    </xf>
    <xf numFmtId="0" fontId="225" fillId="0" borderId="16" xfId="0" applyFont="1" applyBorder="1"/>
    <xf numFmtId="0" fontId="283" fillId="0" borderId="16" xfId="0" applyNumberFormat="1" applyFont="1" applyFill="1" applyBorder="1" applyAlignment="1">
      <alignment horizontal="center" vertical="center"/>
    </xf>
    <xf numFmtId="263" fontId="273" fillId="0" borderId="16" xfId="962" applyNumberFormat="1" applyFont="1" applyFill="1" applyBorder="1" applyAlignment="1">
      <alignment horizontal="right" vertical="center" wrapText="1"/>
    </xf>
    <xf numFmtId="0" fontId="232" fillId="52" borderId="16" xfId="0" applyNumberFormat="1" applyFont="1" applyFill="1" applyBorder="1" applyAlignment="1">
      <alignment horizontal="center" vertical="center"/>
    </xf>
    <xf numFmtId="0" fontId="232" fillId="52" borderId="16" xfId="968" quotePrefix="1" applyNumberFormat="1" applyFont="1" applyFill="1" applyBorder="1" applyAlignment="1">
      <alignment horizontal="center" vertical="center" wrapText="1"/>
    </xf>
    <xf numFmtId="0" fontId="232" fillId="52" borderId="16" xfId="2" applyNumberFormat="1" applyFont="1" applyFill="1" applyBorder="1" applyAlignment="1">
      <alignment horizontal="left" vertical="center" wrapText="1"/>
    </xf>
    <xf numFmtId="263" fontId="232" fillId="52" borderId="16" xfId="962" applyNumberFormat="1" applyFont="1" applyFill="1" applyBorder="1" applyAlignment="1">
      <alignment horizontal="right" vertical="center" wrapText="1"/>
    </xf>
    <xf numFmtId="0" fontId="232" fillId="52" borderId="16" xfId="968" applyNumberFormat="1" applyFont="1" applyFill="1" applyBorder="1" applyAlignment="1">
      <alignment horizontal="center" vertical="center" wrapText="1"/>
    </xf>
    <xf numFmtId="0" fontId="274" fillId="52" borderId="16" xfId="0" applyFont="1" applyFill="1" applyBorder="1" applyAlignment="1">
      <alignment vertical="center" wrapText="1"/>
    </xf>
    <xf numFmtId="0" fontId="232" fillId="0" borderId="16" xfId="0" applyFont="1" applyFill="1" applyBorder="1" applyAlignment="1">
      <alignment horizontal="center" wrapText="1"/>
    </xf>
    <xf numFmtId="263" fontId="232" fillId="0" borderId="16" xfId="962" applyNumberFormat="1" applyFont="1" applyFill="1" applyBorder="1" applyAlignment="1">
      <alignment horizontal="center" vertical="center" wrapText="1"/>
    </xf>
    <xf numFmtId="3" fontId="232" fillId="0" borderId="16" xfId="0" applyNumberFormat="1" applyFont="1" applyFill="1" applyBorder="1"/>
    <xf numFmtId="0" fontId="284" fillId="0" borderId="16" xfId="0" applyFont="1" applyFill="1" applyBorder="1" applyAlignment="1">
      <alignment horizontal="right" wrapText="1"/>
    </xf>
    <xf numFmtId="0" fontId="273" fillId="0" borderId="16" xfId="2" applyNumberFormat="1" applyFont="1" applyFill="1" applyBorder="1" applyAlignment="1">
      <alignment horizontal="center" vertical="center" wrapText="1"/>
    </xf>
    <xf numFmtId="0" fontId="232" fillId="0" borderId="16" xfId="0" applyFont="1" applyFill="1" applyBorder="1" applyAlignment="1">
      <alignment horizontal="center"/>
    </xf>
    <xf numFmtId="0" fontId="232" fillId="0" borderId="16" xfId="0" applyNumberFormat="1" applyFont="1" applyFill="1" applyBorder="1" applyAlignment="1">
      <alignment horizontal="left" vertical="center" wrapText="1"/>
    </xf>
    <xf numFmtId="0" fontId="277" fillId="2" borderId="16" xfId="968" applyNumberFormat="1" applyFont="1" applyFill="1" applyBorder="1" applyAlignment="1">
      <alignment horizontal="center" vertical="center" wrapText="1"/>
    </xf>
    <xf numFmtId="0" fontId="277" fillId="2" borderId="16" xfId="0" applyNumberFormat="1" applyFont="1" applyFill="1" applyBorder="1" applyAlignment="1">
      <alignment horizontal="center" vertical="center"/>
    </xf>
    <xf numFmtId="0" fontId="277" fillId="2" borderId="16" xfId="2" applyNumberFormat="1" applyFont="1" applyFill="1" applyBorder="1" applyAlignment="1">
      <alignment horizontal="left" vertical="center" wrapText="1"/>
    </xf>
    <xf numFmtId="263" fontId="277" fillId="2" borderId="16" xfId="962" applyNumberFormat="1" applyFont="1" applyFill="1" applyBorder="1" applyAlignment="1">
      <alignment horizontal="right" vertical="center" wrapText="1"/>
    </xf>
    <xf numFmtId="0" fontId="276" fillId="65" borderId="16" xfId="2" applyNumberFormat="1" applyFont="1" applyFill="1" applyBorder="1" applyAlignment="1">
      <alignment horizontal="center" vertical="center" wrapText="1"/>
    </xf>
    <xf numFmtId="0" fontId="276" fillId="65" borderId="16" xfId="0" applyNumberFormat="1" applyFont="1" applyFill="1" applyBorder="1" applyAlignment="1">
      <alignment horizontal="center" vertical="center"/>
    </xf>
    <xf numFmtId="263" fontId="276" fillId="65" borderId="16" xfId="962" applyNumberFormat="1" applyFont="1" applyFill="1" applyBorder="1" applyAlignment="1">
      <alignment horizontal="left" vertical="center" wrapText="1"/>
    </xf>
    <xf numFmtId="263" fontId="276" fillId="65" borderId="16" xfId="962" applyNumberFormat="1" applyFont="1" applyFill="1" applyBorder="1" applyAlignment="1">
      <alignment horizontal="right" vertical="center" wrapText="1"/>
    </xf>
    <xf numFmtId="4" fontId="274" fillId="0" borderId="0" xfId="0" applyNumberFormat="1" applyFont="1" applyFill="1" applyAlignment="1">
      <alignment horizontal="center" vertical="center"/>
    </xf>
    <xf numFmtId="0" fontId="274" fillId="0" borderId="0" xfId="0" applyFont="1"/>
    <xf numFmtId="3" fontId="274" fillId="0" borderId="0" xfId="0" applyNumberFormat="1" applyFont="1" applyFill="1" applyAlignment="1">
      <alignment horizontal="center" vertical="center"/>
    </xf>
    <xf numFmtId="3" fontId="274" fillId="0" borderId="0" xfId="0" applyNumberFormat="1" applyFont="1" applyFill="1" applyAlignment="1">
      <alignment vertical="center"/>
    </xf>
    <xf numFmtId="3" fontId="232" fillId="0" borderId="0" xfId="0" applyNumberFormat="1" applyFont="1" applyFill="1" applyAlignment="1">
      <alignment vertical="center"/>
    </xf>
    <xf numFmtId="3" fontId="232" fillId="0" borderId="0" xfId="0" applyNumberFormat="1" applyFont="1" applyFill="1" applyAlignment="1">
      <alignment horizontal="right" vertical="center"/>
    </xf>
    <xf numFmtId="0" fontId="274" fillId="0" borderId="0" xfId="0" applyFont="1" applyAlignment="1">
      <alignment horizontal="center"/>
    </xf>
    <xf numFmtId="0" fontId="274" fillId="0" borderId="0" xfId="0" applyFont="1" applyAlignment="1">
      <alignment horizontal="center" vertical="center"/>
    </xf>
    <xf numFmtId="263" fontId="274" fillId="0" borderId="0" xfId="962" applyNumberFormat="1" applyFont="1"/>
    <xf numFmtId="0" fontId="274" fillId="0" borderId="16" xfId="0" applyFont="1" applyBorder="1"/>
    <xf numFmtId="0" fontId="274" fillId="65" borderId="16" xfId="0" applyFont="1" applyFill="1" applyBorder="1"/>
    <xf numFmtId="0" fontId="274" fillId="2" borderId="16" xfId="0" applyFont="1" applyFill="1" applyBorder="1"/>
    <xf numFmtId="0" fontId="274" fillId="64" borderId="16" xfId="0" applyFont="1" applyFill="1" applyBorder="1"/>
    <xf numFmtId="0" fontId="274" fillId="64" borderId="0" xfId="0" applyFont="1" applyFill="1"/>
    <xf numFmtId="0" fontId="232" fillId="0" borderId="16" xfId="0" applyFont="1" applyBorder="1"/>
    <xf numFmtId="0" fontId="232" fillId="0" borderId="0" xfId="0" applyFont="1"/>
    <xf numFmtId="3" fontId="274" fillId="0" borderId="16" xfId="0" applyNumberFormat="1" applyFont="1" applyFill="1" applyBorder="1" applyAlignment="1">
      <alignment horizontal="right" vertical="center"/>
    </xf>
    <xf numFmtId="3" fontId="232" fillId="0" borderId="16" xfId="0" applyNumberFormat="1" applyFont="1" applyFill="1" applyBorder="1" applyAlignment="1">
      <alignment horizontal="right" vertical="center" wrapText="1"/>
    </xf>
    <xf numFmtId="0" fontId="274" fillId="52" borderId="16" xfId="0" applyFont="1" applyFill="1" applyBorder="1"/>
    <xf numFmtId="0" fontId="274" fillId="52" borderId="0" xfId="0" applyFont="1" applyFill="1"/>
    <xf numFmtId="0" fontId="232" fillId="0" borderId="16" xfId="0" applyFont="1" applyFill="1" applyBorder="1" applyAlignment="1">
      <alignment horizontal="right" vertical="center" wrapText="1"/>
    </xf>
    <xf numFmtId="0" fontId="232" fillId="0" borderId="16" xfId="2" applyNumberFormat="1" applyFont="1" applyFill="1" applyBorder="1" applyAlignment="1">
      <alignment horizontal="center" vertical="center" wrapText="1"/>
    </xf>
    <xf numFmtId="3" fontId="232" fillId="0" borderId="16" xfId="0" applyNumberFormat="1" applyFont="1" applyFill="1" applyBorder="1" applyAlignment="1">
      <alignment horizontal="center" vertical="center" wrapText="1"/>
    </xf>
    <xf numFmtId="263" fontId="274" fillId="0" borderId="16" xfId="962" applyNumberFormat="1" applyFont="1" applyFill="1" applyBorder="1" applyAlignment="1">
      <alignment horizontal="right"/>
    </xf>
    <xf numFmtId="3" fontId="274" fillId="0" borderId="16" xfId="0" applyNumberFormat="1" applyFont="1" applyFill="1" applyBorder="1" applyAlignment="1">
      <alignment horizontal="right" vertical="center" wrapText="1"/>
    </xf>
    <xf numFmtId="0" fontId="285" fillId="0" borderId="16" xfId="0" applyNumberFormat="1" applyFont="1" applyFill="1" applyBorder="1" applyAlignment="1">
      <alignment horizontal="center" vertical="center" wrapText="1"/>
    </xf>
    <xf numFmtId="263" fontId="285" fillId="0" borderId="16" xfId="962" applyNumberFormat="1" applyFont="1" applyFill="1" applyBorder="1" applyAlignment="1">
      <alignment horizontal="right" vertical="center" wrapText="1"/>
    </xf>
    <xf numFmtId="263" fontId="274" fillId="0" borderId="16" xfId="962" applyNumberFormat="1" applyFont="1" applyFill="1" applyBorder="1" applyAlignment="1">
      <alignment horizontal="right" vertical="center" wrapText="1"/>
    </xf>
    <xf numFmtId="0" fontId="282" fillId="0" borderId="16" xfId="0" applyFont="1" applyFill="1" applyBorder="1" applyAlignment="1">
      <alignment horizontal="center" vertical="center" wrapText="1"/>
    </xf>
    <xf numFmtId="0" fontId="283" fillId="64" borderId="16" xfId="0" applyFont="1" applyFill="1" applyBorder="1"/>
    <xf numFmtId="0" fontId="283" fillId="64" borderId="0" xfId="0" applyFont="1" applyFill="1"/>
    <xf numFmtId="3" fontId="232" fillId="0" borderId="16" xfId="2" applyNumberFormat="1" applyFont="1" applyFill="1" applyBorder="1" applyAlignment="1">
      <alignment horizontal="center" vertical="center" wrapText="1"/>
    </xf>
    <xf numFmtId="263" fontId="274" fillId="0" borderId="16" xfId="962" applyNumberFormat="1" applyFont="1" applyFill="1" applyBorder="1" applyAlignment="1">
      <alignment horizontal="center" vertical="center" wrapText="1"/>
    </xf>
    <xf numFmtId="0" fontId="274" fillId="0" borderId="16" xfId="0" applyFont="1" applyBorder="1" applyAlignment="1">
      <alignment horizontal="center"/>
    </xf>
    <xf numFmtId="3" fontId="274" fillId="0" borderId="0" xfId="0" applyNumberFormat="1" applyFont="1"/>
    <xf numFmtId="263" fontId="274" fillId="0" borderId="0" xfId="962" applyNumberFormat="1" applyFont="1" applyAlignment="1">
      <alignment horizontal="right"/>
    </xf>
    <xf numFmtId="0" fontId="232" fillId="66" borderId="16" xfId="0" applyNumberFormat="1" applyFont="1" applyFill="1" applyBorder="1" applyAlignment="1">
      <alignment horizontal="center" vertical="center"/>
    </xf>
    <xf numFmtId="0" fontId="274" fillId="66" borderId="16" xfId="0" applyNumberFormat="1" applyFont="1" applyFill="1" applyBorder="1" applyAlignment="1">
      <alignment horizontal="center" vertical="center"/>
    </xf>
    <xf numFmtId="0" fontId="232" fillId="66" borderId="16" xfId="2" applyNumberFormat="1" applyFont="1" applyFill="1" applyBorder="1" applyAlignment="1">
      <alignment horizontal="left" vertical="center" wrapText="1"/>
    </xf>
    <xf numFmtId="263" fontId="278" fillId="66" borderId="16" xfId="962" applyNumberFormat="1" applyFont="1" applyFill="1" applyBorder="1" applyAlignment="1">
      <alignment horizontal="right" vertical="center" wrapText="1"/>
    </xf>
    <xf numFmtId="0" fontId="274" fillId="66" borderId="16" xfId="0" applyFont="1" applyFill="1" applyBorder="1"/>
    <xf numFmtId="0" fontId="232" fillId="66" borderId="16" xfId="998" applyNumberFormat="1" applyFont="1" applyFill="1" applyBorder="1" applyAlignment="1">
      <alignment horizontal="left" vertical="center" wrapText="1"/>
    </xf>
    <xf numFmtId="263" fontId="232" fillId="66" borderId="16" xfId="962" applyNumberFormat="1" applyFont="1" applyFill="1" applyBorder="1" applyAlignment="1">
      <alignment horizontal="right" vertical="center" wrapText="1"/>
    </xf>
    <xf numFmtId="0" fontId="232" fillId="66" borderId="16" xfId="968" applyNumberFormat="1" applyFont="1" applyFill="1" applyBorder="1" applyAlignment="1">
      <alignment horizontal="left" vertical="center" wrapText="1"/>
    </xf>
    <xf numFmtId="263" fontId="232" fillId="66" borderId="16" xfId="962" applyNumberFormat="1" applyFont="1" applyFill="1" applyBorder="1" applyAlignment="1">
      <alignment vertical="center" wrapText="1"/>
    </xf>
    <xf numFmtId="0" fontId="232" fillId="66" borderId="16" xfId="0" applyNumberFormat="1" applyFont="1" applyFill="1" applyBorder="1" applyAlignment="1">
      <alignment horizontal="left" vertical="center" wrapText="1"/>
    </xf>
    <xf numFmtId="0" fontId="232" fillId="66" borderId="16" xfId="0" applyFont="1" applyFill="1" applyBorder="1"/>
    <xf numFmtId="0" fontId="274" fillId="66" borderId="16" xfId="2" applyNumberFormat="1" applyFont="1" applyFill="1" applyBorder="1" applyAlignment="1">
      <alignment horizontal="left" vertical="center" wrapText="1"/>
    </xf>
    <xf numFmtId="0" fontId="274" fillId="66" borderId="16" xfId="2" applyNumberFormat="1" applyFont="1" applyFill="1" applyBorder="1" applyAlignment="1">
      <alignment horizontal="center" vertical="center" wrapText="1"/>
    </xf>
    <xf numFmtId="263" fontId="274" fillId="66" borderId="16" xfId="962" applyNumberFormat="1" applyFont="1" applyFill="1" applyBorder="1" applyAlignment="1">
      <alignment horizontal="right" vertical="center" wrapText="1"/>
    </xf>
    <xf numFmtId="3" fontId="274" fillId="66" borderId="16" xfId="0" applyNumberFormat="1" applyFont="1" applyFill="1" applyBorder="1" applyAlignment="1">
      <alignment horizontal="right" vertical="center" wrapText="1"/>
    </xf>
    <xf numFmtId="0" fontId="275" fillId="66" borderId="16" xfId="0" applyNumberFormat="1" applyFont="1" applyFill="1" applyBorder="1" applyAlignment="1">
      <alignment horizontal="center" vertical="center"/>
    </xf>
    <xf numFmtId="0" fontId="273" fillId="66" borderId="16" xfId="0" applyFont="1" applyFill="1" applyBorder="1" applyAlignment="1">
      <alignment vertical="center" wrapText="1"/>
    </xf>
    <xf numFmtId="0" fontId="274" fillId="66" borderId="16" xfId="0" applyFont="1" applyFill="1" applyBorder="1" applyAlignment="1">
      <alignment horizontal="center" vertical="center" wrapText="1"/>
    </xf>
    <xf numFmtId="0" fontId="274" fillId="66" borderId="16" xfId="0" applyFont="1" applyFill="1" applyBorder="1" applyAlignment="1">
      <alignment horizontal="center"/>
    </xf>
    <xf numFmtId="0" fontId="273" fillId="66" borderId="16" xfId="0" applyFont="1" applyFill="1" applyBorder="1" applyAlignment="1">
      <alignment horizontal="center" vertical="center" wrapText="1"/>
    </xf>
    <xf numFmtId="263" fontId="274" fillId="66" borderId="16" xfId="962" applyNumberFormat="1" applyFont="1" applyFill="1" applyBorder="1"/>
    <xf numFmtId="263" fontId="274" fillId="66" borderId="16" xfId="962" applyNumberFormat="1" applyFont="1" applyFill="1" applyBorder="1" applyAlignment="1">
      <alignment horizontal="right"/>
    </xf>
    <xf numFmtId="0" fontId="232" fillId="66" borderId="16" xfId="968" applyNumberFormat="1" applyFont="1" applyFill="1" applyBorder="1" applyAlignment="1">
      <alignment horizontal="center" vertical="center" wrapText="1"/>
    </xf>
    <xf numFmtId="263" fontId="274" fillId="66" borderId="16" xfId="0" applyNumberFormat="1" applyFont="1" applyFill="1" applyBorder="1"/>
    <xf numFmtId="3" fontId="232" fillId="66" borderId="16" xfId="0" applyNumberFormat="1" applyFont="1" applyFill="1" applyBorder="1" applyAlignment="1">
      <alignment horizontal="right"/>
    </xf>
    <xf numFmtId="0" fontId="274" fillId="66" borderId="16" xfId="0" applyFont="1" applyFill="1" applyBorder="1" applyAlignment="1">
      <alignment horizontal="center" vertical="center"/>
    </xf>
    <xf numFmtId="263" fontId="278" fillId="0" borderId="16" xfId="962" applyNumberFormat="1" applyFont="1" applyFill="1" applyBorder="1" applyAlignment="1">
      <alignment horizontal="right" vertical="center" wrapText="1"/>
    </xf>
    <xf numFmtId="0" fontId="274" fillId="0" borderId="16" xfId="0" applyFont="1" applyFill="1" applyBorder="1"/>
    <xf numFmtId="0" fontId="277" fillId="2" borderId="16" xfId="2" applyNumberFormat="1" applyFont="1" applyFill="1" applyBorder="1" applyAlignment="1">
      <alignment horizontal="center" vertical="center" wrapText="1"/>
    </xf>
    <xf numFmtId="0" fontId="232" fillId="66" borderId="16" xfId="2" applyNumberFormat="1" applyFont="1" applyFill="1" applyBorder="1" applyAlignment="1">
      <alignment horizontal="center" vertical="center" wrapText="1"/>
    </xf>
    <xf numFmtId="0" fontId="232" fillId="66" borderId="16" xfId="998" applyNumberFormat="1" applyFont="1" applyFill="1" applyBorder="1" applyAlignment="1">
      <alignment horizontal="center" vertical="center" wrapText="1"/>
    </xf>
    <xf numFmtId="0" fontId="232" fillId="0" borderId="16" xfId="1418" applyNumberFormat="1" applyFont="1" applyFill="1" applyBorder="1" applyAlignment="1">
      <alignment horizontal="center" vertical="center" wrapText="1"/>
    </xf>
    <xf numFmtId="0" fontId="232" fillId="66" borderId="16" xfId="0" applyNumberFormat="1" applyFont="1" applyFill="1" applyBorder="1" applyAlignment="1">
      <alignment horizontal="center" vertical="center" wrapText="1"/>
    </xf>
    <xf numFmtId="0" fontId="232" fillId="0" borderId="16" xfId="0" applyNumberFormat="1" applyFont="1" applyFill="1" applyBorder="1" applyAlignment="1">
      <alignment horizontal="center" vertical="center" wrapText="1"/>
    </xf>
    <xf numFmtId="263" fontId="232" fillId="52" borderId="16" xfId="962" applyNumberFormat="1" applyFont="1" applyFill="1" applyBorder="1" applyAlignment="1">
      <alignment horizontal="center" vertical="center" wrapText="1"/>
    </xf>
    <xf numFmtId="3" fontId="274" fillId="52" borderId="16" xfId="0" applyNumberFormat="1" applyFont="1" applyFill="1" applyBorder="1" applyAlignment="1">
      <alignment horizontal="center" vertical="center"/>
    </xf>
    <xf numFmtId="0" fontId="232" fillId="52" borderId="16" xfId="0" applyFont="1" applyFill="1" applyBorder="1" applyAlignment="1">
      <alignment horizontal="center" vertical="center" wrapText="1"/>
    </xf>
    <xf numFmtId="0" fontId="232" fillId="0" borderId="16" xfId="0" applyFont="1" applyFill="1" applyBorder="1" applyAlignment="1">
      <alignment horizontal="center" vertical="center" wrapText="1"/>
    </xf>
    <xf numFmtId="0" fontId="274" fillId="0" borderId="0" xfId="0" applyFont="1" applyFill="1" applyBorder="1"/>
    <xf numFmtId="3" fontId="274" fillId="0" borderId="0" xfId="0" applyNumberFormat="1" applyFont="1" applyFill="1" applyBorder="1" applyAlignment="1">
      <alignment horizontal="right" vertical="center"/>
    </xf>
    <xf numFmtId="3" fontId="232" fillId="0" borderId="0" xfId="0" applyNumberFormat="1" applyFont="1" applyFill="1" applyBorder="1" applyAlignment="1">
      <alignment horizontal="right" vertical="center" wrapText="1"/>
    </xf>
    <xf numFmtId="0" fontId="232" fillId="0" borderId="0" xfId="0" applyFont="1" applyFill="1" applyBorder="1" applyAlignment="1">
      <alignment horizontal="right" wrapText="1"/>
    </xf>
    <xf numFmtId="3" fontId="232" fillId="0" borderId="0" xfId="0" applyNumberFormat="1" applyFont="1" applyFill="1" applyBorder="1" applyAlignment="1">
      <alignment horizontal="right"/>
    </xf>
    <xf numFmtId="263" fontId="274" fillId="66" borderId="16" xfId="962" applyNumberFormat="1" applyFont="1" applyFill="1" applyBorder="1" applyAlignment="1">
      <alignment vertical="center"/>
    </xf>
    <xf numFmtId="263" fontId="274" fillId="0" borderId="0" xfId="0" applyNumberFormat="1" applyFont="1"/>
    <xf numFmtId="0" fontId="286" fillId="24" borderId="16" xfId="2" applyNumberFormat="1" applyFont="1" applyFill="1" applyBorder="1" applyAlignment="1">
      <alignment horizontal="center" vertical="center" wrapText="1"/>
    </xf>
    <xf numFmtId="0" fontId="286" fillId="24" borderId="16" xfId="0" applyNumberFormat="1" applyFont="1" applyFill="1" applyBorder="1" applyAlignment="1">
      <alignment horizontal="center" vertical="center" wrapText="1"/>
    </xf>
    <xf numFmtId="263" fontId="286" fillId="24" borderId="16" xfId="962" applyNumberFormat="1" applyFont="1" applyFill="1" applyBorder="1" applyAlignment="1">
      <alignment horizontal="center" vertical="center" wrapText="1"/>
    </xf>
    <xf numFmtId="0" fontId="274" fillId="0" borderId="0" xfId="0" applyFont="1" applyBorder="1" applyAlignment="1">
      <alignment horizontal="center"/>
    </xf>
    <xf numFmtId="0" fontId="274" fillId="0" borderId="0" xfId="0" applyFont="1" applyBorder="1" applyAlignment="1">
      <alignment horizontal="center" vertical="center"/>
    </xf>
    <xf numFmtId="0" fontId="232" fillId="0" borderId="0" xfId="0" applyFont="1" applyFill="1" applyBorder="1" applyAlignment="1">
      <alignment wrapText="1"/>
    </xf>
    <xf numFmtId="0" fontId="232" fillId="0" borderId="0" xfId="0" applyFont="1" applyFill="1" applyBorder="1" applyAlignment="1">
      <alignment horizontal="center" vertical="center" wrapText="1"/>
    </xf>
    <xf numFmtId="0" fontId="232" fillId="0" borderId="8" xfId="0" applyFont="1" applyFill="1" applyBorder="1" applyAlignment="1">
      <alignment horizontal="center"/>
    </xf>
    <xf numFmtId="3" fontId="232" fillId="0" borderId="8" xfId="0" applyNumberFormat="1" applyFont="1" applyFill="1" applyBorder="1"/>
    <xf numFmtId="3" fontId="232" fillId="0" borderId="8" xfId="0" applyNumberFormat="1" applyFont="1" applyFill="1" applyBorder="1" applyAlignment="1">
      <alignment horizontal="right"/>
    </xf>
    <xf numFmtId="0" fontId="274" fillId="0" borderId="8" xfId="0" applyFont="1" applyBorder="1"/>
    <xf numFmtId="0" fontId="223" fillId="0" borderId="0" xfId="0" applyFont="1" applyAlignment="1">
      <alignment horizontal="center" vertical="center"/>
    </xf>
    <xf numFmtId="3" fontId="175" fillId="0" borderId="64" xfId="0" applyNumberFormat="1" applyFont="1" applyFill="1" applyBorder="1" applyAlignment="1">
      <alignment horizontal="right" vertical="center"/>
    </xf>
    <xf numFmtId="3" fontId="192" fillId="52" borderId="0" xfId="1" applyNumberFormat="1" applyFont="1" applyFill="1" applyAlignment="1">
      <alignment horizontal="center" vertical="center" wrapText="1"/>
    </xf>
    <xf numFmtId="3" fontId="181" fillId="52" borderId="6" xfId="3" applyNumberFormat="1" applyFont="1" applyFill="1" applyBorder="1" applyAlignment="1">
      <alignment horizontal="right" vertical="center" wrapText="1"/>
    </xf>
    <xf numFmtId="3" fontId="181" fillId="52" borderId="8" xfId="3" applyNumberFormat="1" applyFont="1" applyFill="1" applyBorder="1" applyAlignment="1">
      <alignment horizontal="right" vertical="center" wrapText="1"/>
    </xf>
    <xf numFmtId="3" fontId="181" fillId="52" borderId="9" xfId="3" applyNumberFormat="1" applyFont="1" applyFill="1" applyBorder="1" applyAlignment="1">
      <alignment horizontal="right" vertical="center" wrapText="1"/>
    </xf>
    <xf numFmtId="3" fontId="181" fillId="52" borderId="13" xfId="3" applyNumberFormat="1" applyFont="1" applyFill="1" applyBorder="1" applyAlignment="1">
      <alignment horizontal="right" vertical="center" wrapText="1"/>
    </xf>
    <xf numFmtId="3" fontId="181" fillId="52" borderId="14" xfId="3" applyNumberFormat="1" applyFont="1" applyFill="1" applyBorder="1" applyAlignment="1">
      <alignment horizontal="right" vertical="center" wrapText="1"/>
    </xf>
    <xf numFmtId="3" fontId="181" fillId="52" borderId="15" xfId="3" applyNumberFormat="1" applyFont="1" applyFill="1" applyBorder="1" applyAlignment="1">
      <alignment horizontal="right" vertical="center" wrapText="1"/>
    </xf>
    <xf numFmtId="4" fontId="192" fillId="52" borderId="1" xfId="2" applyNumberFormat="1" applyFont="1" applyFill="1" applyBorder="1" applyAlignment="1">
      <alignment horizontal="center" vertical="center" wrapText="1"/>
    </xf>
    <xf numFmtId="4" fontId="192" fillId="52" borderId="5" xfId="2" applyNumberFormat="1" applyFont="1" applyFill="1" applyBorder="1" applyAlignment="1">
      <alignment horizontal="center" vertical="center" wrapText="1"/>
    </xf>
    <xf numFmtId="4" fontId="192" fillId="52" borderId="12" xfId="2" applyNumberFormat="1" applyFont="1" applyFill="1" applyBorder="1" applyAlignment="1">
      <alignment horizontal="center" vertical="center" wrapText="1"/>
    </xf>
    <xf numFmtId="3" fontId="192" fillId="52" borderId="1" xfId="2" applyNumberFormat="1" applyFont="1" applyFill="1" applyBorder="1" applyAlignment="1">
      <alignment horizontal="center" vertical="center" wrapText="1"/>
    </xf>
    <xf numFmtId="3" fontId="192" fillId="52" borderId="5" xfId="2" applyNumberFormat="1" applyFont="1" applyFill="1" applyBorder="1" applyAlignment="1">
      <alignment horizontal="center" vertical="center" wrapText="1"/>
    </xf>
    <xf numFmtId="3" fontId="192" fillId="52" borderId="12" xfId="2" applyNumberFormat="1" applyFont="1" applyFill="1" applyBorder="1" applyAlignment="1">
      <alignment horizontal="center" vertical="center" wrapText="1"/>
    </xf>
    <xf numFmtId="3" fontId="185" fillId="52" borderId="14" xfId="1" applyNumberFormat="1" applyFont="1" applyFill="1" applyBorder="1" applyAlignment="1">
      <alignment horizontal="right" vertical="center" wrapText="1"/>
    </xf>
    <xf numFmtId="3" fontId="192" fillId="52" borderId="63" xfId="3" applyNumberFormat="1" applyFont="1" applyFill="1" applyBorder="1" applyAlignment="1" applyProtection="1">
      <alignment horizontal="right" vertical="center" wrapText="1"/>
    </xf>
    <xf numFmtId="3" fontId="192" fillId="52" borderId="5" xfId="3" applyNumberFormat="1" applyFont="1" applyFill="1" applyBorder="1" applyAlignment="1" applyProtection="1">
      <alignment horizontal="right" vertical="center" wrapText="1"/>
    </xf>
    <xf numFmtId="3" fontId="192" fillId="52" borderId="12" xfId="3" applyNumberFormat="1" applyFont="1" applyFill="1" applyBorder="1" applyAlignment="1" applyProtection="1">
      <alignment horizontal="right" vertical="center" wrapText="1"/>
    </xf>
    <xf numFmtId="4" fontId="192" fillId="52" borderId="55" xfId="2" applyNumberFormat="1" applyFont="1" applyFill="1" applyBorder="1" applyAlignment="1">
      <alignment horizontal="center" vertical="center" wrapText="1"/>
    </xf>
    <xf numFmtId="3" fontId="184" fillId="52" borderId="0" xfId="0" applyNumberFormat="1" applyFont="1" applyFill="1" applyAlignment="1">
      <alignment horizontal="center" vertical="center"/>
    </xf>
    <xf numFmtId="3" fontId="180" fillId="52" borderId="0" xfId="0" applyNumberFormat="1" applyFont="1" applyFill="1" applyAlignment="1">
      <alignment horizontal="right" vertical="center"/>
    </xf>
    <xf numFmtId="0" fontId="256" fillId="61" borderId="16" xfId="0" applyFont="1" applyFill="1" applyBorder="1" applyAlignment="1">
      <alignment horizontal="center" vertical="center" wrapText="1"/>
    </xf>
    <xf numFmtId="0" fontId="249" fillId="52" borderId="0" xfId="0" applyFont="1" applyFill="1" applyAlignment="1">
      <alignment horizontal="center"/>
    </xf>
    <xf numFmtId="0" fontId="181" fillId="52" borderId="1" xfId="2" applyNumberFormat="1" applyFont="1" applyFill="1" applyBorder="1" applyAlignment="1">
      <alignment horizontal="center" vertical="center" wrapText="1"/>
    </xf>
    <xf numFmtId="0" fontId="181" fillId="52" borderId="5" xfId="2" applyNumberFormat="1" applyFont="1" applyFill="1" applyBorder="1" applyAlignment="1">
      <alignment horizontal="center" vertical="center" wrapText="1"/>
    </xf>
    <xf numFmtId="0" fontId="181" fillId="52" borderId="12" xfId="2" applyNumberFormat="1" applyFont="1" applyFill="1" applyBorder="1" applyAlignment="1">
      <alignment horizontal="center" vertical="center" wrapText="1"/>
    </xf>
    <xf numFmtId="0" fontId="181" fillId="52" borderId="1" xfId="3" applyNumberFormat="1" applyFont="1" applyFill="1" applyBorder="1" applyAlignment="1" applyProtection="1">
      <alignment horizontal="center" vertical="center" wrapText="1"/>
    </xf>
    <xf numFmtId="0" fontId="181" fillId="52" borderId="5" xfId="3" applyNumberFormat="1" applyFont="1" applyFill="1" applyBorder="1" applyAlignment="1" applyProtection="1">
      <alignment horizontal="center" vertical="center" wrapText="1"/>
    </xf>
    <xf numFmtId="0" fontId="181" fillId="52" borderId="12" xfId="3" applyNumberFormat="1" applyFont="1" applyFill="1" applyBorder="1" applyAlignment="1" applyProtection="1">
      <alignment horizontal="center" vertical="center" wrapText="1"/>
    </xf>
    <xf numFmtId="0" fontId="181" fillId="52" borderId="6" xfId="3" applyNumberFormat="1" applyFont="1" applyFill="1" applyBorder="1" applyAlignment="1">
      <alignment horizontal="center" vertical="center" wrapText="1"/>
    </xf>
    <xf numFmtId="0" fontId="181" fillId="52" borderId="8" xfId="3" applyNumberFormat="1" applyFont="1" applyFill="1" applyBorder="1" applyAlignment="1">
      <alignment horizontal="center" vertical="center" wrapText="1"/>
    </xf>
    <xf numFmtId="0" fontId="181" fillId="52" borderId="9" xfId="3" applyNumberFormat="1" applyFont="1" applyFill="1" applyBorder="1" applyAlignment="1">
      <alignment horizontal="center" vertical="center" wrapText="1"/>
    </xf>
    <xf numFmtId="0" fontId="181" fillId="52" borderId="57" xfId="3" applyNumberFormat="1" applyFont="1" applyFill="1" applyBorder="1" applyAlignment="1">
      <alignment horizontal="center" vertical="center" wrapText="1"/>
    </xf>
    <xf numFmtId="0" fontId="181" fillId="52" borderId="14" xfId="3" applyNumberFormat="1" applyFont="1" applyFill="1" applyBorder="1" applyAlignment="1">
      <alignment horizontal="center" vertical="center" wrapText="1"/>
    </xf>
    <xf numFmtId="0" fontId="181" fillId="52" borderId="15" xfId="3" applyNumberFormat="1" applyFont="1" applyFill="1" applyBorder="1" applyAlignment="1">
      <alignment horizontal="center" vertical="center" wrapText="1"/>
    </xf>
    <xf numFmtId="0" fontId="247" fillId="0" borderId="16" xfId="0" applyFont="1" applyFill="1" applyBorder="1" applyAlignment="1">
      <alignment horizontal="center" vertical="center" wrapText="1"/>
    </xf>
    <xf numFmtId="0" fontId="247" fillId="0" borderId="4" xfId="0" applyFont="1" applyFill="1" applyBorder="1" applyAlignment="1">
      <alignment horizontal="center" vertical="center" wrapText="1"/>
    </xf>
    <xf numFmtId="0" fontId="247" fillId="0" borderId="2" xfId="0" applyFont="1" applyFill="1" applyBorder="1" applyAlignment="1">
      <alignment horizontal="center" vertical="center" wrapText="1"/>
    </xf>
    <xf numFmtId="0" fontId="247" fillId="0" borderId="3" xfId="0" applyFont="1" applyFill="1" applyBorder="1" applyAlignment="1">
      <alignment horizontal="center" vertical="center" wrapText="1"/>
    </xf>
    <xf numFmtId="0" fontId="247" fillId="0" borderId="0" xfId="0" applyFont="1" applyFill="1" applyAlignment="1">
      <alignment horizontal="center"/>
    </xf>
    <xf numFmtId="0" fontId="245" fillId="0" borderId="14" xfId="0" applyFont="1" applyFill="1" applyBorder="1" applyAlignment="1">
      <alignment horizontal="center"/>
    </xf>
    <xf numFmtId="0" fontId="247" fillId="0" borderId="1" xfId="2" applyNumberFormat="1" applyFont="1" applyFill="1" applyBorder="1" applyAlignment="1">
      <alignment horizontal="center" vertical="center" wrapText="1"/>
    </xf>
    <xf numFmtId="0" fontId="247" fillId="0" borderId="5" xfId="2" applyNumberFormat="1" applyFont="1" applyFill="1" applyBorder="1" applyAlignment="1">
      <alignment horizontal="center" vertical="center" wrapText="1"/>
    </xf>
    <xf numFmtId="0" fontId="247" fillId="0" borderId="12" xfId="2" applyNumberFormat="1" applyFont="1" applyFill="1" applyBorder="1" applyAlignment="1">
      <alignment horizontal="center" vertical="center" wrapText="1"/>
    </xf>
    <xf numFmtId="0" fontId="247" fillId="0" borderId="1" xfId="3" applyNumberFormat="1" applyFont="1" applyFill="1" applyBorder="1" applyAlignment="1" applyProtection="1">
      <alignment horizontal="center" vertical="center" wrapText="1"/>
    </xf>
    <xf numFmtId="0" fontId="247" fillId="0" borderId="5" xfId="3" applyNumberFormat="1" applyFont="1" applyFill="1" applyBorder="1" applyAlignment="1" applyProtection="1">
      <alignment horizontal="center" vertical="center" wrapText="1"/>
    </xf>
    <xf numFmtId="0" fontId="247" fillId="0" borderId="12" xfId="3" applyNumberFormat="1" applyFont="1" applyFill="1" applyBorder="1" applyAlignment="1" applyProtection="1">
      <alignment horizontal="center" vertical="center" wrapText="1"/>
    </xf>
    <xf numFmtId="0" fontId="247" fillId="0" borderId="6" xfId="3" applyNumberFormat="1" applyFont="1" applyFill="1" applyBorder="1" applyAlignment="1">
      <alignment horizontal="center" vertical="center" wrapText="1"/>
    </xf>
    <xf numFmtId="0" fontId="247" fillId="0" borderId="8" xfId="3" applyNumberFormat="1" applyFont="1" applyFill="1" applyBorder="1" applyAlignment="1">
      <alignment horizontal="center" vertical="center" wrapText="1"/>
    </xf>
    <xf numFmtId="0" fontId="247" fillId="0" borderId="57" xfId="3" applyNumberFormat="1" applyFont="1" applyFill="1" applyBorder="1" applyAlignment="1">
      <alignment horizontal="center" vertical="center" wrapText="1"/>
    </xf>
    <xf numFmtId="0" fontId="247" fillId="0" borderId="14" xfId="3" applyNumberFormat="1" applyFont="1" applyFill="1" applyBorder="1" applyAlignment="1">
      <alignment horizontal="center" vertical="center" wrapText="1"/>
    </xf>
    <xf numFmtId="0" fontId="247" fillId="0" borderId="9" xfId="3" applyNumberFormat="1" applyFont="1" applyFill="1" applyBorder="1" applyAlignment="1">
      <alignment horizontal="center" vertical="center" wrapText="1"/>
    </xf>
    <xf numFmtId="0" fontId="247" fillId="0" borderId="15" xfId="3" applyNumberFormat="1" applyFont="1" applyFill="1" applyBorder="1" applyAlignment="1">
      <alignment horizontal="center" vertical="center" wrapText="1"/>
    </xf>
    <xf numFmtId="263" fontId="222" fillId="52" borderId="0" xfId="974" applyNumberFormat="1" applyFont="1" applyFill="1" applyBorder="1" applyAlignment="1">
      <alignment horizontal="center" vertical="center" wrapText="1"/>
    </xf>
    <xf numFmtId="263" fontId="223" fillId="52" borderId="0" xfId="974" applyNumberFormat="1" applyFont="1" applyFill="1" applyBorder="1" applyAlignment="1">
      <alignment horizontal="center" vertical="center"/>
    </xf>
    <xf numFmtId="263" fontId="222" fillId="0" borderId="0" xfId="974" applyNumberFormat="1" applyFont="1" applyAlignment="1">
      <alignment horizontal="center" vertical="center"/>
    </xf>
    <xf numFmtId="263" fontId="222" fillId="52" borderId="0" xfId="974" applyNumberFormat="1" applyFont="1" applyFill="1" applyBorder="1" applyAlignment="1">
      <alignment horizontal="center" vertical="center"/>
    </xf>
    <xf numFmtId="263" fontId="223" fillId="52" borderId="0" xfId="974" applyNumberFormat="1" applyFont="1" applyFill="1" applyBorder="1" applyAlignment="1">
      <alignment horizontal="center" vertical="center" wrapText="1"/>
    </xf>
    <xf numFmtId="263" fontId="223" fillId="63" borderId="0" xfId="974" applyNumberFormat="1" applyFont="1" applyFill="1" applyBorder="1" applyAlignment="1">
      <alignment horizontal="center" vertical="center" wrapText="1"/>
    </xf>
    <xf numFmtId="0" fontId="223" fillId="52" borderId="16" xfId="963" applyFont="1" applyFill="1" applyBorder="1" applyAlignment="1">
      <alignment horizontal="center" vertical="center"/>
    </xf>
    <xf numFmtId="0" fontId="223" fillId="0" borderId="1" xfId="963" applyFont="1" applyBorder="1" applyAlignment="1">
      <alignment horizontal="center" vertical="center" wrapText="1"/>
    </xf>
    <xf numFmtId="0" fontId="223" fillId="0" borderId="12" xfId="963" applyFont="1" applyBorder="1" applyAlignment="1">
      <alignment horizontal="center" vertical="center" wrapText="1"/>
    </xf>
    <xf numFmtId="0" fontId="223" fillId="0" borderId="16" xfId="963" applyFont="1" applyBorder="1" applyAlignment="1">
      <alignment horizontal="center" vertical="center"/>
    </xf>
    <xf numFmtId="0" fontId="223" fillId="0" borderId="16" xfId="963" applyFont="1" applyBorder="1" applyAlignment="1">
      <alignment horizontal="center" vertical="center" wrapText="1"/>
    </xf>
    <xf numFmtId="0" fontId="223" fillId="52" borderId="0" xfId="963" applyFont="1" applyFill="1" applyBorder="1" applyAlignment="1">
      <alignment horizontal="center" vertical="center"/>
    </xf>
    <xf numFmtId="263" fontId="223" fillId="52" borderId="0" xfId="963" applyNumberFormat="1" applyFont="1" applyFill="1" applyBorder="1" applyAlignment="1">
      <alignment horizontal="center" vertical="center"/>
    </xf>
    <xf numFmtId="0" fontId="223" fillId="52" borderId="0" xfId="963" applyFont="1" applyFill="1" applyAlignment="1">
      <alignment horizontal="center" vertical="center" wrapText="1"/>
    </xf>
    <xf numFmtId="0" fontId="224" fillId="52" borderId="0" xfId="963" applyFont="1" applyFill="1" applyAlignment="1">
      <alignment horizontal="center" vertical="center" wrapText="1"/>
    </xf>
    <xf numFmtId="0" fontId="223" fillId="52" borderId="16" xfId="963" applyFont="1" applyFill="1" applyBorder="1" applyAlignment="1">
      <alignment horizontal="center" vertical="center" wrapText="1"/>
    </xf>
    <xf numFmtId="0" fontId="223" fillId="52" borderId="1" xfId="963" applyFont="1" applyFill="1" applyBorder="1" applyAlignment="1">
      <alignment horizontal="center" vertical="center" wrapText="1"/>
    </xf>
    <xf numFmtId="0" fontId="223" fillId="52" borderId="5" xfId="963" applyFont="1" applyFill="1" applyBorder="1" applyAlignment="1">
      <alignment horizontal="center" vertical="center" wrapText="1"/>
    </xf>
    <xf numFmtId="0" fontId="259" fillId="52" borderId="0" xfId="8" applyFont="1" applyFill="1" applyAlignment="1">
      <alignment horizontal="center" vertical="center" wrapText="1"/>
    </xf>
    <xf numFmtId="0" fontId="184" fillId="24" borderId="0" xfId="0" applyNumberFormat="1" applyFont="1" applyFill="1" applyAlignment="1">
      <alignment horizontal="left" vertical="center" wrapText="1"/>
    </xf>
    <xf numFmtId="0" fontId="184" fillId="24" borderId="0" xfId="0" applyNumberFormat="1" applyFont="1" applyFill="1" applyAlignment="1">
      <alignment horizontal="center" vertical="center"/>
    </xf>
    <xf numFmtId="0" fontId="180" fillId="24" borderId="0" xfId="0" applyNumberFormat="1" applyFont="1" applyFill="1" applyAlignment="1">
      <alignment horizontal="right" vertical="center"/>
    </xf>
    <xf numFmtId="0" fontId="192" fillId="24" borderId="0" xfId="1" applyNumberFormat="1" applyFont="1" applyFill="1" applyAlignment="1">
      <alignment horizontal="center" vertical="center" wrapText="1"/>
    </xf>
    <xf numFmtId="0" fontId="192" fillId="24" borderId="0" xfId="1" applyNumberFormat="1" applyFont="1" applyFill="1" applyAlignment="1">
      <alignment horizontal="left" vertical="center" wrapText="1"/>
    </xf>
    <xf numFmtId="0" fontId="185" fillId="24" borderId="14" xfId="1" applyNumberFormat="1" applyFont="1" applyFill="1" applyBorder="1" applyAlignment="1">
      <alignment horizontal="right" vertical="center" wrapText="1"/>
    </xf>
    <xf numFmtId="0" fontId="192" fillId="24" borderId="1" xfId="2" applyNumberFormat="1" applyFont="1" applyFill="1" applyBorder="1" applyAlignment="1">
      <alignment horizontal="center" vertical="center" wrapText="1"/>
    </xf>
    <xf numFmtId="0" fontId="192" fillId="24" borderId="5" xfId="2" applyNumberFormat="1" applyFont="1" applyFill="1" applyBorder="1" applyAlignment="1">
      <alignment horizontal="center" vertical="center" wrapText="1"/>
    </xf>
    <xf numFmtId="0" fontId="192" fillId="24" borderId="12" xfId="2" applyNumberFormat="1" applyFont="1" applyFill="1" applyBorder="1" applyAlignment="1">
      <alignment horizontal="center" vertical="center" wrapText="1"/>
    </xf>
    <xf numFmtId="0" fontId="184" fillId="24" borderId="1" xfId="0" applyNumberFormat="1" applyFont="1" applyFill="1" applyBorder="1" applyAlignment="1">
      <alignment horizontal="center" vertical="center" wrapText="1"/>
    </xf>
    <xf numFmtId="0" fontId="184" fillId="24" borderId="5" xfId="0" applyNumberFormat="1" applyFont="1" applyFill="1" applyBorder="1" applyAlignment="1">
      <alignment horizontal="center" vertical="center" wrapText="1"/>
    </xf>
    <xf numFmtId="0" fontId="184" fillId="24" borderId="12" xfId="0" applyNumberFormat="1" applyFont="1" applyFill="1" applyBorder="1" applyAlignment="1">
      <alignment horizontal="center" vertical="center" wrapText="1"/>
    </xf>
    <xf numFmtId="0" fontId="192" fillId="24" borderId="63" xfId="3" applyNumberFormat="1" applyFont="1" applyFill="1" applyBorder="1" applyAlignment="1" applyProtection="1">
      <alignment horizontal="right" vertical="center" wrapText="1"/>
    </xf>
    <xf numFmtId="0" fontId="192" fillId="24" borderId="5" xfId="3" applyNumberFormat="1" applyFont="1" applyFill="1" applyBorder="1" applyAlignment="1" applyProtection="1">
      <alignment horizontal="right" vertical="center" wrapText="1"/>
    </xf>
    <xf numFmtId="0" fontId="192" fillId="24" borderId="12" xfId="3" applyNumberFormat="1" applyFont="1" applyFill="1" applyBorder="1" applyAlignment="1" applyProtection="1">
      <alignment horizontal="right" vertical="center" wrapText="1"/>
    </xf>
    <xf numFmtId="0" fontId="181" fillId="24" borderId="6" xfId="3" applyNumberFormat="1" applyFont="1" applyFill="1" applyBorder="1" applyAlignment="1">
      <alignment horizontal="center" vertical="center" wrapText="1"/>
    </xf>
    <xf numFmtId="0" fontId="181" fillId="24" borderId="8" xfId="3" applyNumberFormat="1" applyFont="1" applyFill="1" applyBorder="1" applyAlignment="1">
      <alignment horizontal="center" vertical="center" wrapText="1"/>
    </xf>
    <xf numFmtId="0" fontId="181" fillId="24" borderId="9" xfId="3" applyNumberFormat="1" applyFont="1" applyFill="1" applyBorder="1" applyAlignment="1">
      <alignment horizontal="center" vertical="center" wrapText="1"/>
    </xf>
    <xf numFmtId="0" fontId="181" fillId="24" borderId="57" xfId="3" applyNumberFormat="1" applyFont="1" applyFill="1" applyBorder="1" applyAlignment="1">
      <alignment horizontal="center" vertical="center" wrapText="1"/>
    </xf>
    <xf numFmtId="0" fontId="181" fillId="24" borderId="14" xfId="3" applyNumberFormat="1" applyFont="1" applyFill="1" applyBorder="1" applyAlignment="1">
      <alignment horizontal="center" vertical="center" wrapText="1"/>
    </xf>
    <xf numFmtId="0" fontId="181" fillId="24" borderId="15" xfId="3" applyNumberFormat="1" applyFont="1" applyFill="1" applyBorder="1" applyAlignment="1">
      <alignment horizontal="center" vertical="center" wrapText="1"/>
    </xf>
    <xf numFmtId="3" fontId="172" fillId="52" borderId="0" xfId="0" applyNumberFormat="1" applyFont="1" applyFill="1" applyAlignment="1">
      <alignment horizontal="center" vertical="center"/>
    </xf>
    <xf numFmtId="3" fontId="42" fillId="52" borderId="0" xfId="0" applyNumberFormat="1" applyFont="1" applyFill="1" applyAlignment="1">
      <alignment horizontal="center" vertical="center"/>
    </xf>
    <xf numFmtId="3" fontId="183" fillId="0" borderId="64" xfId="0" applyNumberFormat="1" applyFont="1" applyFill="1" applyBorder="1" applyAlignment="1">
      <alignment horizontal="center" vertical="center"/>
    </xf>
    <xf numFmtId="3" fontId="194" fillId="52" borderId="0" xfId="1" applyNumberFormat="1" applyFont="1" applyFill="1" applyAlignment="1">
      <alignment horizontal="center" vertical="center" wrapText="1"/>
    </xf>
    <xf numFmtId="3" fontId="200" fillId="52" borderId="14" xfId="1" applyNumberFormat="1" applyFont="1" applyFill="1" applyBorder="1" applyAlignment="1">
      <alignment horizontal="center" vertical="center" wrapText="1"/>
    </xf>
    <xf numFmtId="4" fontId="194" fillId="52" borderId="1" xfId="2" applyNumberFormat="1" applyFont="1" applyFill="1" applyBorder="1" applyAlignment="1">
      <alignment horizontal="center" vertical="center" wrapText="1"/>
    </xf>
    <xf numFmtId="4" fontId="194" fillId="52" borderId="5" xfId="2" applyNumberFormat="1" applyFont="1" applyFill="1" applyBorder="1" applyAlignment="1">
      <alignment horizontal="center" vertical="center" wrapText="1"/>
    </xf>
    <xf numFmtId="4" fontId="194" fillId="52" borderId="12" xfId="2" applyNumberFormat="1" applyFont="1" applyFill="1" applyBorder="1" applyAlignment="1">
      <alignment horizontal="center" vertical="center" wrapText="1"/>
    </xf>
    <xf numFmtId="3" fontId="194" fillId="52" borderId="1" xfId="2" applyNumberFormat="1" applyFont="1" applyFill="1" applyBorder="1" applyAlignment="1">
      <alignment horizontal="center" vertical="center" wrapText="1"/>
    </xf>
    <xf numFmtId="3" fontId="194" fillId="52" borderId="5" xfId="2" applyNumberFormat="1" applyFont="1" applyFill="1" applyBorder="1" applyAlignment="1">
      <alignment horizontal="center" vertical="center" wrapText="1"/>
    </xf>
    <xf numFmtId="3" fontId="194" fillId="52" borderId="12" xfId="2" applyNumberFormat="1" applyFont="1" applyFill="1" applyBorder="1" applyAlignment="1">
      <alignment horizontal="center" vertical="center" wrapText="1"/>
    </xf>
    <xf numFmtId="3" fontId="196" fillId="52" borderId="6" xfId="3" applyNumberFormat="1" applyFont="1" applyFill="1" applyBorder="1" applyAlignment="1">
      <alignment horizontal="center" vertical="center" wrapText="1"/>
    </xf>
    <xf numFmtId="3" fontId="196" fillId="52" borderId="8" xfId="3" applyNumberFormat="1" applyFont="1" applyFill="1" applyBorder="1" applyAlignment="1">
      <alignment horizontal="center" vertical="center" wrapText="1"/>
    </xf>
    <xf numFmtId="3" fontId="196" fillId="52" borderId="9" xfId="3" applyNumberFormat="1" applyFont="1" applyFill="1" applyBorder="1" applyAlignment="1">
      <alignment horizontal="center" vertical="center" wrapText="1"/>
    </xf>
    <xf numFmtId="3" fontId="194" fillId="52" borderId="63" xfId="3" applyNumberFormat="1" applyFont="1" applyFill="1" applyBorder="1" applyAlignment="1" applyProtection="1">
      <alignment horizontal="center" vertical="center" wrapText="1"/>
    </xf>
    <xf numFmtId="3" fontId="194" fillId="52" borderId="5" xfId="3" applyNumberFormat="1" applyFont="1" applyFill="1" applyBorder="1" applyAlignment="1" applyProtection="1">
      <alignment horizontal="center" vertical="center" wrapText="1"/>
    </xf>
    <xf numFmtId="3" fontId="194" fillId="52" borderId="12" xfId="3" applyNumberFormat="1" applyFont="1" applyFill="1" applyBorder="1" applyAlignment="1" applyProtection="1">
      <alignment horizontal="center" vertical="center" wrapText="1"/>
    </xf>
    <xf numFmtId="3" fontId="196" fillId="52" borderId="13" xfId="3" applyNumberFormat="1" applyFont="1" applyFill="1" applyBorder="1" applyAlignment="1">
      <alignment horizontal="center" vertical="center" wrapText="1"/>
    </xf>
    <xf numFmtId="3" fontId="196" fillId="52" borderId="14" xfId="3" applyNumberFormat="1" applyFont="1" applyFill="1" applyBorder="1" applyAlignment="1">
      <alignment horizontal="center" vertical="center" wrapText="1"/>
    </xf>
    <xf numFmtId="3" fontId="196" fillId="52" borderId="15" xfId="3" applyNumberFormat="1" applyFont="1" applyFill="1" applyBorder="1" applyAlignment="1">
      <alignment horizontal="center" vertical="center" wrapText="1"/>
    </xf>
    <xf numFmtId="3" fontId="194" fillId="52" borderId="7" xfId="3" applyNumberFormat="1" applyFont="1" applyFill="1" applyBorder="1" applyAlignment="1" applyProtection="1">
      <alignment horizontal="center" vertical="center" wrapText="1"/>
    </xf>
    <xf numFmtId="3" fontId="194" fillId="52" borderId="10" xfId="3" applyNumberFormat="1" applyFont="1" applyFill="1" applyBorder="1" applyAlignment="1" applyProtection="1">
      <alignment horizontal="center" vertical="center" wrapText="1"/>
    </xf>
    <xf numFmtId="0" fontId="239" fillId="0" borderId="54" xfId="0" applyFont="1" applyBorder="1" applyAlignment="1">
      <alignment horizontal="center" vertical="center"/>
    </xf>
    <xf numFmtId="0" fontId="239" fillId="0" borderId="0" xfId="0" applyFont="1" applyAlignment="1">
      <alignment horizontal="center"/>
    </xf>
    <xf numFmtId="0" fontId="239" fillId="0" borderId="55" xfId="0" applyFont="1" applyBorder="1" applyAlignment="1">
      <alignment horizontal="center" vertical="center" wrapText="1"/>
    </xf>
    <xf numFmtId="0" fontId="239" fillId="0" borderId="12" xfId="0" applyFont="1" applyBorder="1" applyAlignment="1">
      <alignment horizontal="center" vertical="center" wrapText="1"/>
    </xf>
    <xf numFmtId="0" fontId="239" fillId="0" borderId="54" xfId="0" applyFont="1" applyBorder="1" applyAlignment="1">
      <alignment horizontal="center" vertical="center" wrapText="1"/>
    </xf>
    <xf numFmtId="0" fontId="239" fillId="0" borderId="1" xfId="0" applyFont="1" applyBorder="1" applyAlignment="1">
      <alignment horizontal="center" vertical="center"/>
    </xf>
    <xf numFmtId="0" fontId="239" fillId="0" borderId="12" xfId="0" applyFont="1" applyBorder="1" applyAlignment="1">
      <alignment horizontal="center" vertical="center"/>
    </xf>
    <xf numFmtId="0" fontId="220" fillId="52" borderId="17" xfId="1004" applyFont="1" applyFill="1" applyBorder="1" applyAlignment="1">
      <alignment horizontal="center" vertical="center"/>
    </xf>
    <xf numFmtId="0" fontId="226" fillId="52" borderId="11" xfId="1004" applyFont="1" applyFill="1" applyBorder="1" applyAlignment="1">
      <alignment horizontal="center" vertical="center"/>
    </xf>
    <xf numFmtId="0" fontId="225" fillId="52" borderId="0" xfId="1006" applyFont="1" applyFill="1" applyAlignment="1">
      <alignment horizontal="center" vertical="center" wrapText="1"/>
    </xf>
    <xf numFmtId="0" fontId="225" fillId="52" borderId="17" xfId="1006" applyFont="1" applyFill="1" applyBorder="1" applyAlignment="1">
      <alignment horizontal="center" vertical="center" wrapText="1"/>
    </xf>
    <xf numFmtId="0" fontId="225" fillId="52" borderId="65" xfId="1006" applyFont="1" applyFill="1" applyBorder="1" applyAlignment="1">
      <alignment horizontal="center" vertical="center" wrapText="1"/>
    </xf>
    <xf numFmtId="263" fontId="225" fillId="52" borderId="17" xfId="1006" applyNumberFormat="1" applyFont="1" applyFill="1" applyBorder="1" applyAlignment="1">
      <alignment horizontal="center" vertical="center" wrapText="1"/>
    </xf>
    <xf numFmtId="263" fontId="225" fillId="52" borderId="65" xfId="1006" applyNumberFormat="1" applyFont="1" applyFill="1" applyBorder="1" applyAlignment="1">
      <alignment horizontal="center" vertical="center" wrapText="1"/>
    </xf>
    <xf numFmtId="0" fontId="220" fillId="52" borderId="17" xfId="1006" applyFont="1" applyFill="1" applyBorder="1" applyAlignment="1">
      <alignment horizontal="center" vertical="center" wrapText="1"/>
    </xf>
    <xf numFmtId="180" fontId="220" fillId="52" borderId="17" xfId="1005" applyNumberFormat="1" applyFont="1" applyFill="1" applyBorder="1" applyAlignment="1">
      <alignment horizontal="center" vertical="center" wrapText="1"/>
    </xf>
    <xf numFmtId="180" fontId="220" fillId="52" borderId="65" xfId="1005" applyNumberFormat="1" applyFont="1" applyFill="1" applyBorder="1" applyAlignment="1">
      <alignment horizontal="center" vertical="center" wrapText="1"/>
    </xf>
    <xf numFmtId="0" fontId="181" fillId="24" borderId="1" xfId="3" applyNumberFormat="1" applyFont="1" applyFill="1" applyBorder="1" applyAlignment="1" applyProtection="1">
      <alignment horizontal="center" vertical="center" wrapText="1"/>
    </xf>
    <xf numFmtId="0" fontId="181" fillId="24" borderId="5" xfId="3" applyNumberFormat="1" applyFont="1" applyFill="1" applyBorder="1" applyAlignment="1" applyProtection="1">
      <alignment horizontal="center" vertical="center" wrapText="1"/>
    </xf>
    <xf numFmtId="0" fontId="181" fillId="24" borderId="12" xfId="3" applyNumberFormat="1" applyFont="1" applyFill="1" applyBorder="1" applyAlignment="1" applyProtection="1">
      <alignment horizontal="center" vertical="center" wrapText="1"/>
    </xf>
    <xf numFmtId="0" fontId="181" fillId="24" borderId="1" xfId="2" applyNumberFormat="1" applyFont="1" applyFill="1" applyBorder="1" applyAlignment="1">
      <alignment horizontal="center" vertical="center" wrapText="1"/>
    </xf>
    <xf numFmtId="0" fontId="181" fillId="24" borderId="5" xfId="2" applyNumberFormat="1" applyFont="1" applyFill="1" applyBorder="1" applyAlignment="1">
      <alignment horizontal="center" vertical="center" wrapText="1"/>
    </xf>
    <xf numFmtId="0" fontId="181" fillId="24" borderId="12" xfId="2" applyNumberFormat="1" applyFont="1" applyFill="1" applyBorder="1" applyAlignment="1">
      <alignment horizontal="center" vertical="center" wrapText="1"/>
    </xf>
    <xf numFmtId="263" fontId="282" fillId="0" borderId="14" xfId="962" applyNumberFormat="1" applyFont="1" applyBorder="1" applyAlignment="1">
      <alignment horizontal="center"/>
    </xf>
    <xf numFmtId="3" fontId="273" fillId="0" borderId="0" xfId="1" applyNumberFormat="1" applyFont="1" applyFill="1" applyAlignment="1">
      <alignment horizontal="center" vertical="center" wrapText="1"/>
    </xf>
    <xf numFmtId="180" fontId="220" fillId="64" borderId="0" xfId="966" applyNumberFormat="1" applyFont="1" applyFill="1" applyAlignment="1">
      <alignment horizontal="center" vertical="center" wrapText="1"/>
    </xf>
    <xf numFmtId="0" fontId="280" fillId="64" borderId="0" xfId="968" applyFont="1" applyFill="1" applyAlignment="1">
      <alignment horizontal="center" vertical="center" wrapText="1"/>
    </xf>
    <xf numFmtId="0" fontId="247" fillId="64" borderId="16" xfId="968" applyFont="1" applyFill="1" applyBorder="1" applyAlignment="1">
      <alignment horizontal="center" vertical="center" wrapText="1"/>
    </xf>
    <xf numFmtId="180" fontId="220" fillId="64" borderId="16" xfId="966" applyNumberFormat="1" applyFont="1" applyFill="1" applyBorder="1" applyAlignment="1">
      <alignment horizontal="center" vertical="center" wrapText="1"/>
    </xf>
    <xf numFmtId="0" fontId="225" fillId="0" borderId="16" xfId="0" applyFont="1" applyBorder="1" applyAlignment="1">
      <alignment horizontal="center"/>
    </xf>
    <xf numFmtId="0" fontId="247" fillId="64" borderId="70" xfId="968" applyFont="1" applyFill="1" applyBorder="1" applyAlignment="1">
      <alignment horizontal="center" vertical="center" wrapText="1"/>
    </xf>
    <xf numFmtId="0" fontId="247" fillId="64" borderId="9" xfId="968" applyFont="1" applyFill="1" applyBorder="1" applyAlignment="1">
      <alignment horizontal="center" vertical="center" wrapText="1"/>
    </xf>
    <xf numFmtId="0" fontId="247" fillId="64" borderId="57" xfId="968" applyFont="1" applyFill="1" applyBorder="1" applyAlignment="1">
      <alignment horizontal="center" vertical="center" wrapText="1"/>
    </xf>
    <xf numFmtId="0" fontId="247" fillId="64" borderId="15" xfId="968" applyFont="1" applyFill="1" applyBorder="1" applyAlignment="1">
      <alignment horizontal="center" vertical="center" wrapText="1"/>
    </xf>
  </cellXfs>
  <cellStyles count="1419">
    <cellStyle name="_x0001_" xfId="9"/>
    <cellStyle name="          _x000d__x000a_shell=progman.exe_x000d__x000a_m" xfId="10"/>
    <cellStyle name="#,##0" xfId="11"/>
    <cellStyle name="." xfId="12"/>
    <cellStyle name=".d©y" xfId="13"/>
    <cellStyle name="??" xfId="14"/>
    <cellStyle name="?? [ - ??1" xfId="15"/>
    <cellStyle name="?? [ - ??2" xfId="16"/>
    <cellStyle name="?? [ - ??3" xfId="17"/>
    <cellStyle name="?? [ - ??4" xfId="18"/>
    <cellStyle name="?? [ - ??5" xfId="19"/>
    <cellStyle name="?? [ - ??6" xfId="20"/>
    <cellStyle name="?? [ - ??7" xfId="21"/>
    <cellStyle name="?? [ - ??8" xfId="22"/>
    <cellStyle name="?? [0.00]_        " xfId="23"/>
    <cellStyle name="?? [0]" xfId="24"/>
    <cellStyle name="?_x001d_??%U©÷u&amp;H©÷9_x0008_? s_x000a__x0007__x0001__x0001_" xfId="25"/>
    <cellStyle name="???? [0.00]_      " xfId="26"/>
    <cellStyle name="??????" xfId="27"/>
    <cellStyle name="????_      " xfId="28"/>
    <cellStyle name="???[0]_?? DI" xfId="29"/>
    <cellStyle name="???_?? DI" xfId="30"/>
    <cellStyle name="??[0]_BRE" xfId="31"/>
    <cellStyle name="??_      " xfId="32"/>
    <cellStyle name="??A? [0]_laroux_1_¢¬???¢â? " xfId="33"/>
    <cellStyle name="??A?_laroux_1_¢¬???¢â? " xfId="34"/>
    <cellStyle name="?¡±¢¥?_?¨ù??¢´¢¥_¢¬???¢â? " xfId="35"/>
    <cellStyle name="?ðÇ%U?&amp;H?_x0008_?s_x000a__x0007__x0001__x0001_" xfId="36"/>
    <cellStyle name="[0]_Chi phÝ kh¸c_V" xfId="37"/>
    <cellStyle name="_1 TONG HOP - CA NA" xfId="38"/>
    <cellStyle name="_130307 So sanh thuc hien 2012 - du toan 2012 moi (pan khac)" xfId="1011"/>
    <cellStyle name="_130313 Mau  bieu bao cao nguon luc cua dia phuong sua" xfId="1012"/>
    <cellStyle name="_130818 Tong hop Danh gia thu 2013" xfId="1013"/>
    <cellStyle name="_Bang Chi tieu (2)" xfId="39"/>
    <cellStyle name="_BAO GIA NGAY 24-10-08 (co dam)" xfId="40"/>
    <cellStyle name="_Bieu tong hop nhu cau ung_Mien Trung" xfId="41"/>
    <cellStyle name="_Bieu ung von 2011 NSNN - TPCP vung DBSClong (10-6-2010)" xfId="42"/>
    <cellStyle name="_Book1" xfId="43"/>
    <cellStyle name="_Book1_1" xfId="1014"/>
    <cellStyle name="_Book1_BC-QT-WB-dthao" xfId="1015"/>
    <cellStyle name="_Book1_Book1" xfId="1016"/>
    <cellStyle name="_Book1_Kh ql62 (2010) 11-09" xfId="44"/>
    <cellStyle name="_Book1_TH" xfId="45"/>
    <cellStyle name="_C.cong+B.luong-Sanluong" xfId="46"/>
    <cellStyle name="_DG 2012-DT2013 - Theo sac thue -sua" xfId="1017"/>
    <cellStyle name="_DG 2012-DT2013 - Theo sac thue -sua_120907 Thu tang them 4500" xfId="1018"/>
    <cellStyle name="_DO-D1500-KHONG CO TRONG DT" xfId="47"/>
    <cellStyle name="_Duyet TK thay đôi" xfId="48"/>
    <cellStyle name="_GOITHAUSO2" xfId="49"/>
    <cellStyle name="_GOITHAUSO3" xfId="50"/>
    <cellStyle name="_GOITHAUSO4" xfId="51"/>
    <cellStyle name="_GTXD GOI 2" xfId="52"/>
    <cellStyle name="_GTXD GOI1" xfId="53"/>
    <cellStyle name="_GTXD GOI3" xfId="54"/>
    <cellStyle name="_HaHoa_TDT_DienCSang" xfId="55"/>
    <cellStyle name="_HaHoa19-5-07" xfId="56"/>
    <cellStyle name="_Huong CHI tieu Nhiem vu CTMTQG 2014(1)" xfId="1354"/>
    <cellStyle name="_KT (2)" xfId="58"/>
    <cellStyle name="_KT (2)_1" xfId="59"/>
    <cellStyle name="_KT (2)_1_Lora-tungchau" xfId="1019"/>
    <cellStyle name="_KT (2)_1_Qt-HT3PQ1(CauKho)" xfId="1020"/>
    <cellStyle name="_KT (2)_1_quy luong con lai nam 2004" xfId="60"/>
    <cellStyle name="_KT (2)_2" xfId="61"/>
    <cellStyle name="_KT (2)_2_Book1" xfId="62"/>
    <cellStyle name="_KT (2)_2_DTDuong dong tien -sua tham tra 2009 - luong 650" xfId="63"/>
    <cellStyle name="_KT (2)_2_quy luong con lai nam 2004" xfId="64"/>
    <cellStyle name="_KT (2)_2_TG-TH" xfId="65"/>
    <cellStyle name="_KT (2)_2_TG-TH_BANG TONG HOP TINH HINH THANH QUYET TOAN (MOI I)" xfId="66"/>
    <cellStyle name="_KT (2)_2_TG-TH_BAO CAO KLCT PT2000" xfId="1021"/>
    <cellStyle name="_KT (2)_2_TG-TH_BAO CAO PT2000" xfId="1022"/>
    <cellStyle name="_KT (2)_2_TG-TH_BAO CAO PT2000_Book1" xfId="1023"/>
    <cellStyle name="_KT (2)_2_TG-TH_Bao cao XDCB 2001 - T11 KH dieu chinh 20-11-THAI" xfId="1024"/>
    <cellStyle name="_KT (2)_2_TG-TH_BAO GIA NGAY 24-10-08 (co dam)" xfId="67"/>
    <cellStyle name="_KT (2)_2_TG-TH_Book1" xfId="68"/>
    <cellStyle name="_KT (2)_2_TG-TH_Book1_1" xfId="69"/>
    <cellStyle name="_KT (2)_2_TG-TH_Book1_1_Book1" xfId="1025"/>
    <cellStyle name="_KT (2)_2_TG-TH_Book1_2" xfId="1026"/>
    <cellStyle name="_KT (2)_2_TG-TH_Book1_2_Book1" xfId="1027"/>
    <cellStyle name="_KT (2)_2_TG-TH_Book1_3" xfId="1028"/>
    <cellStyle name="_KT (2)_2_TG-TH_Book1_3_Book1" xfId="1029"/>
    <cellStyle name="_KT (2)_2_TG-TH_Book1_4" xfId="1030"/>
    <cellStyle name="_KT (2)_2_TG-TH_Book1_4_Book1" xfId="1031"/>
    <cellStyle name="_KT (2)_2_TG-TH_Book1_5" xfId="1032"/>
    <cellStyle name="_KT (2)_2_TG-TH_Book1_Book1" xfId="1033"/>
    <cellStyle name="_KT (2)_2_TG-TH_Book1_Book1_1" xfId="1034"/>
    <cellStyle name="_KT (2)_2_TG-TH_Book1_Tong hop 3 tinh (11_5)-TTH-QN-QT" xfId="70"/>
    <cellStyle name="_KT (2)_2_TG-TH_CAU Khanh Nam(Thi Cong)" xfId="71"/>
    <cellStyle name="_KT (2)_2_TG-TH_DTCDT MR.2N110.HOCMON.TDTOAN.CCUNG" xfId="1035"/>
    <cellStyle name="_KT (2)_2_TG-TH_DTDuong dong tien -sua tham tra 2009 - luong 650" xfId="72"/>
    <cellStyle name="_KT (2)_2_TG-TH_DU TRU VAT TU" xfId="73"/>
    <cellStyle name="_KT (2)_2_TG-TH_Lora-tungchau" xfId="1036"/>
    <cellStyle name="_KT (2)_2_TG-TH_PGIA-phieu tham tra Kho bac" xfId="1037"/>
    <cellStyle name="_KT (2)_2_TG-TH_PT02-02" xfId="1038"/>
    <cellStyle name="_KT (2)_2_TG-TH_PT02-02_Book1" xfId="1039"/>
    <cellStyle name="_KT (2)_2_TG-TH_PT02-03" xfId="1040"/>
    <cellStyle name="_KT (2)_2_TG-TH_PT02-03_Book1" xfId="1041"/>
    <cellStyle name="_KT (2)_2_TG-TH_Qt-HT3PQ1(CauKho)" xfId="1042"/>
    <cellStyle name="_KT (2)_2_TG-TH_quy luong con lai nam 2004" xfId="74"/>
    <cellStyle name="_KT (2)_2_TG-TH_TEL OUT 2004" xfId="75"/>
    <cellStyle name="_KT (2)_2_TG-TH_Tong hop 3 tinh (11_5)-TTH-QN-QT" xfId="76"/>
    <cellStyle name="_KT (2)_2_TG-TH_ÿÿÿÿÿ" xfId="77"/>
    <cellStyle name="_KT (2)_3" xfId="78"/>
    <cellStyle name="_KT (2)_3_TG-TH" xfId="79"/>
    <cellStyle name="_KT (2)_3_TG-TH_Book1" xfId="1043"/>
    <cellStyle name="_KT (2)_3_TG-TH_Book1_1" xfId="1044"/>
    <cellStyle name="_KT (2)_3_TG-TH_Book1_BC-QT-WB-dthao" xfId="1045"/>
    <cellStyle name="_KT (2)_3_TG-TH_Book1_Book1" xfId="1046"/>
    <cellStyle name="_KT (2)_3_TG-TH_Lora-tungchau" xfId="1047"/>
    <cellStyle name="_KT (2)_3_TG-TH_Lora-tungchau_Book1" xfId="1048"/>
    <cellStyle name="_KT (2)_3_TG-TH_PERSONAL" xfId="80"/>
    <cellStyle name="_KT (2)_3_TG-TH_PERSONAL_Book1" xfId="81"/>
    <cellStyle name="_KT (2)_3_TG-TH_PERSONAL_HTQ.8 GD1" xfId="1049"/>
    <cellStyle name="_KT (2)_3_TG-TH_PERSONAL_Tong hop KHCB 2001" xfId="82"/>
    <cellStyle name="_KT (2)_3_TG-TH_Qt-HT3PQ1(CauKho)" xfId="1050"/>
    <cellStyle name="_KT (2)_3_TG-TH_quy luong con lai nam 2004" xfId="83"/>
    <cellStyle name="_KT (2)_4" xfId="84"/>
    <cellStyle name="_KT (2)_4_BANG TONG HOP TINH HINH THANH QUYET TOAN (MOI I)" xfId="85"/>
    <cellStyle name="_KT (2)_4_BAO CAO KLCT PT2000" xfId="1051"/>
    <cellStyle name="_KT (2)_4_BAO CAO PT2000" xfId="1052"/>
    <cellStyle name="_KT (2)_4_BAO CAO PT2000_Book1" xfId="1053"/>
    <cellStyle name="_KT (2)_4_Bao cao XDCB 2001 - T11 KH dieu chinh 20-11-THAI" xfId="1054"/>
    <cellStyle name="_KT (2)_4_BAO GIA NGAY 24-10-08 (co dam)" xfId="86"/>
    <cellStyle name="_KT (2)_4_Book1" xfId="87"/>
    <cellStyle name="_KT (2)_4_Book1_1" xfId="88"/>
    <cellStyle name="_KT (2)_4_Book1_1_Book1" xfId="1055"/>
    <cellStyle name="_KT (2)_4_Book1_2" xfId="1056"/>
    <cellStyle name="_KT (2)_4_Book1_2_Book1" xfId="1057"/>
    <cellStyle name="_KT (2)_4_Book1_3" xfId="1058"/>
    <cellStyle name="_KT (2)_4_Book1_3_Book1" xfId="1059"/>
    <cellStyle name="_KT (2)_4_Book1_4" xfId="1060"/>
    <cellStyle name="_KT (2)_4_Book1_4_Book1" xfId="1061"/>
    <cellStyle name="_KT (2)_4_Book1_5" xfId="1062"/>
    <cellStyle name="_KT (2)_4_Book1_Book1" xfId="1063"/>
    <cellStyle name="_KT (2)_4_Book1_Book1_1" xfId="1064"/>
    <cellStyle name="_KT (2)_4_Book1_Tong hop 3 tinh (11_5)-TTH-QN-QT" xfId="89"/>
    <cellStyle name="_KT (2)_4_CAU Khanh Nam(Thi Cong)" xfId="90"/>
    <cellStyle name="_KT (2)_4_DTCDT MR.2N110.HOCMON.TDTOAN.CCUNG" xfId="1065"/>
    <cellStyle name="_KT (2)_4_DTDuong dong tien -sua tham tra 2009 - luong 650" xfId="91"/>
    <cellStyle name="_KT (2)_4_DU TRU VAT TU" xfId="92"/>
    <cellStyle name="_KT (2)_4_Lora-tungchau" xfId="1066"/>
    <cellStyle name="_KT (2)_4_PGIA-phieu tham tra Kho bac" xfId="1067"/>
    <cellStyle name="_KT (2)_4_PT02-02" xfId="1068"/>
    <cellStyle name="_KT (2)_4_PT02-02_Book1" xfId="1069"/>
    <cellStyle name="_KT (2)_4_PT02-03" xfId="1070"/>
    <cellStyle name="_KT (2)_4_PT02-03_Book1" xfId="1071"/>
    <cellStyle name="_KT (2)_4_Qt-HT3PQ1(CauKho)" xfId="1072"/>
    <cellStyle name="_KT (2)_4_quy luong con lai nam 2004" xfId="93"/>
    <cellStyle name="_KT (2)_4_TEL OUT 2004" xfId="94"/>
    <cellStyle name="_KT (2)_4_TG-TH" xfId="95"/>
    <cellStyle name="_KT (2)_4_TG-TH_Book1" xfId="96"/>
    <cellStyle name="_KT (2)_4_TG-TH_DTDuong dong tien -sua tham tra 2009 - luong 650" xfId="97"/>
    <cellStyle name="_KT (2)_4_TG-TH_quy luong con lai nam 2004" xfId="98"/>
    <cellStyle name="_KT (2)_4_Tong hop 3 tinh (11_5)-TTH-QN-QT" xfId="99"/>
    <cellStyle name="_KT (2)_4_ÿÿÿÿÿ" xfId="100"/>
    <cellStyle name="_KT (2)_5" xfId="101"/>
    <cellStyle name="_KT (2)_5_BANG TONG HOP TINH HINH THANH QUYET TOAN (MOI I)" xfId="102"/>
    <cellStyle name="_KT (2)_5_BAO CAO KLCT PT2000" xfId="1073"/>
    <cellStyle name="_KT (2)_5_BAO CAO PT2000" xfId="1074"/>
    <cellStyle name="_KT (2)_5_BAO CAO PT2000_Book1" xfId="1075"/>
    <cellStyle name="_KT (2)_5_Bao cao XDCB 2001 - T11 KH dieu chinh 20-11-THAI" xfId="1076"/>
    <cellStyle name="_KT (2)_5_BAO GIA NGAY 24-10-08 (co dam)" xfId="103"/>
    <cellStyle name="_KT (2)_5_Book1" xfId="104"/>
    <cellStyle name="_KT (2)_5_Book1_1" xfId="105"/>
    <cellStyle name="_KT (2)_5_Book1_1_Book1" xfId="1077"/>
    <cellStyle name="_KT (2)_5_Book1_2" xfId="1078"/>
    <cellStyle name="_KT (2)_5_Book1_2_Book1" xfId="1079"/>
    <cellStyle name="_KT (2)_5_Book1_3" xfId="1080"/>
    <cellStyle name="_KT (2)_5_Book1_3_Book1" xfId="1081"/>
    <cellStyle name="_KT (2)_5_Book1_4" xfId="1082"/>
    <cellStyle name="_KT (2)_5_Book1_BC-QT-WB-dthao" xfId="1083"/>
    <cellStyle name="_KT (2)_5_Book1_Book1" xfId="1084"/>
    <cellStyle name="_KT (2)_5_Book1_Book1_1" xfId="1085"/>
    <cellStyle name="_KT (2)_5_Book1_Tong hop 3 tinh (11_5)-TTH-QN-QT" xfId="106"/>
    <cellStyle name="_KT (2)_5_CAU Khanh Nam(Thi Cong)" xfId="107"/>
    <cellStyle name="_KT (2)_5_DTCDT MR.2N110.HOCMON.TDTOAN.CCUNG" xfId="1086"/>
    <cellStyle name="_KT (2)_5_DTDuong dong tien -sua tham tra 2009 - luong 650" xfId="108"/>
    <cellStyle name="_KT (2)_5_DU TRU VAT TU" xfId="109"/>
    <cellStyle name="_KT (2)_5_Lora-tungchau" xfId="1087"/>
    <cellStyle name="_KT (2)_5_PGIA-phieu tham tra Kho bac" xfId="1088"/>
    <cellStyle name="_KT (2)_5_PT02-02" xfId="1089"/>
    <cellStyle name="_KT (2)_5_PT02-02_Book1" xfId="1090"/>
    <cellStyle name="_KT (2)_5_PT02-03" xfId="1091"/>
    <cellStyle name="_KT (2)_5_PT02-03_Book1" xfId="1092"/>
    <cellStyle name="_KT (2)_5_Qt-HT3PQ1(CauKho)" xfId="1093"/>
    <cellStyle name="_KT (2)_5_TEL OUT 2004" xfId="110"/>
    <cellStyle name="_KT (2)_5_Tong hop 3 tinh (11_5)-TTH-QN-QT" xfId="111"/>
    <cellStyle name="_KT (2)_5_ÿÿÿÿÿ" xfId="112"/>
    <cellStyle name="_KT (2)_Book1" xfId="1094"/>
    <cellStyle name="_KT (2)_Book1_1" xfId="1095"/>
    <cellStyle name="_KT (2)_Book1_BC-QT-WB-dthao" xfId="1096"/>
    <cellStyle name="_KT (2)_Book1_Book1" xfId="1097"/>
    <cellStyle name="_KT (2)_Lora-tungchau" xfId="1098"/>
    <cellStyle name="_KT (2)_Lora-tungchau_Book1" xfId="1099"/>
    <cellStyle name="_KT (2)_PERSONAL" xfId="113"/>
    <cellStyle name="_KT (2)_PERSONAL_Book1" xfId="114"/>
    <cellStyle name="_KT (2)_PERSONAL_HTQ.8 GD1" xfId="1100"/>
    <cellStyle name="_KT (2)_PERSONAL_Tong hop KHCB 2001" xfId="115"/>
    <cellStyle name="_KT (2)_Qt-HT3PQ1(CauKho)" xfId="1101"/>
    <cellStyle name="_KT (2)_quy luong con lai nam 2004" xfId="116"/>
    <cellStyle name="_KT (2)_TG-TH" xfId="117"/>
    <cellStyle name="_KT_TG" xfId="118"/>
    <cellStyle name="_KT_TG_1" xfId="119"/>
    <cellStyle name="_KT_TG_1_BANG TONG HOP TINH HINH THANH QUYET TOAN (MOI I)" xfId="120"/>
    <cellStyle name="_KT_TG_1_BAO CAO KLCT PT2000" xfId="1102"/>
    <cellStyle name="_KT_TG_1_BAO CAO PT2000" xfId="1103"/>
    <cellStyle name="_KT_TG_1_BAO CAO PT2000_Book1" xfId="1104"/>
    <cellStyle name="_KT_TG_1_Bao cao XDCB 2001 - T11 KH dieu chinh 20-11-THAI" xfId="1105"/>
    <cellStyle name="_KT_TG_1_BAO GIA NGAY 24-10-08 (co dam)" xfId="121"/>
    <cellStyle name="_KT_TG_1_Book1" xfId="122"/>
    <cellStyle name="_KT_TG_1_Book1_1" xfId="123"/>
    <cellStyle name="_KT_TG_1_Book1_1_Book1" xfId="1106"/>
    <cellStyle name="_KT_TG_1_Book1_2" xfId="1107"/>
    <cellStyle name="_KT_TG_1_Book1_2_Book1" xfId="1108"/>
    <cellStyle name="_KT_TG_1_Book1_3" xfId="1109"/>
    <cellStyle name="_KT_TG_1_Book1_3_Book1" xfId="1110"/>
    <cellStyle name="_KT_TG_1_Book1_4" xfId="1111"/>
    <cellStyle name="_KT_TG_1_Book1_BC-QT-WB-dthao" xfId="1112"/>
    <cellStyle name="_KT_TG_1_Book1_Book1" xfId="1113"/>
    <cellStyle name="_KT_TG_1_Book1_Book1_1" xfId="1114"/>
    <cellStyle name="_KT_TG_1_Book1_Tong hop 3 tinh (11_5)-TTH-QN-QT" xfId="124"/>
    <cellStyle name="_KT_TG_1_CAU Khanh Nam(Thi Cong)" xfId="125"/>
    <cellStyle name="_KT_TG_1_DTCDT MR.2N110.HOCMON.TDTOAN.CCUNG" xfId="1115"/>
    <cellStyle name="_KT_TG_1_DTDuong dong tien -sua tham tra 2009 - luong 650" xfId="126"/>
    <cellStyle name="_KT_TG_1_DU TRU VAT TU" xfId="127"/>
    <cellStyle name="_KT_TG_1_Lora-tungchau" xfId="1116"/>
    <cellStyle name="_KT_TG_1_PGIA-phieu tham tra Kho bac" xfId="1117"/>
    <cellStyle name="_KT_TG_1_PT02-02" xfId="1118"/>
    <cellStyle name="_KT_TG_1_PT02-02_Book1" xfId="1119"/>
    <cellStyle name="_KT_TG_1_PT02-03" xfId="1120"/>
    <cellStyle name="_KT_TG_1_PT02-03_Book1" xfId="1121"/>
    <cellStyle name="_KT_TG_1_Qt-HT3PQ1(CauKho)" xfId="1122"/>
    <cellStyle name="_KT_TG_1_TEL OUT 2004" xfId="128"/>
    <cellStyle name="_KT_TG_1_Tong hop 3 tinh (11_5)-TTH-QN-QT" xfId="129"/>
    <cellStyle name="_KT_TG_1_ÿÿÿÿÿ" xfId="130"/>
    <cellStyle name="_KT_TG_2" xfId="131"/>
    <cellStyle name="_KT_TG_2_BANG TONG HOP TINH HINH THANH QUYET TOAN (MOI I)" xfId="132"/>
    <cellStyle name="_KT_TG_2_BAO CAO KLCT PT2000" xfId="1123"/>
    <cellStyle name="_KT_TG_2_BAO CAO PT2000" xfId="1124"/>
    <cellStyle name="_KT_TG_2_BAO CAO PT2000_Book1" xfId="1125"/>
    <cellStyle name="_KT_TG_2_Bao cao XDCB 2001 - T11 KH dieu chinh 20-11-THAI" xfId="1126"/>
    <cellStyle name="_KT_TG_2_BAO GIA NGAY 24-10-08 (co dam)" xfId="133"/>
    <cellStyle name="_KT_TG_2_Book1" xfId="134"/>
    <cellStyle name="_KT_TG_2_Book1_1" xfId="135"/>
    <cellStyle name="_KT_TG_2_Book1_1_Book1" xfId="1127"/>
    <cellStyle name="_KT_TG_2_Book1_2" xfId="1128"/>
    <cellStyle name="_KT_TG_2_Book1_2_Book1" xfId="1129"/>
    <cellStyle name="_KT_TG_2_Book1_3" xfId="1130"/>
    <cellStyle name="_KT_TG_2_Book1_3_Book1" xfId="1131"/>
    <cellStyle name="_KT_TG_2_Book1_4" xfId="1132"/>
    <cellStyle name="_KT_TG_2_Book1_4_Book1" xfId="1133"/>
    <cellStyle name="_KT_TG_2_Book1_5" xfId="1134"/>
    <cellStyle name="_KT_TG_2_Book1_Book1" xfId="1135"/>
    <cellStyle name="_KT_TG_2_Book1_Book1_1" xfId="1136"/>
    <cellStyle name="_KT_TG_2_Book1_Tong hop 3 tinh (11_5)-TTH-QN-QT" xfId="136"/>
    <cellStyle name="_KT_TG_2_CAU Khanh Nam(Thi Cong)" xfId="137"/>
    <cellStyle name="_KT_TG_2_DTCDT MR.2N110.HOCMON.TDTOAN.CCUNG" xfId="1137"/>
    <cellStyle name="_KT_TG_2_DTDuong dong tien -sua tham tra 2009 - luong 650" xfId="138"/>
    <cellStyle name="_KT_TG_2_DU TRU VAT TU" xfId="139"/>
    <cellStyle name="_KT_TG_2_Lora-tungchau" xfId="1138"/>
    <cellStyle name="_KT_TG_2_PGIA-phieu tham tra Kho bac" xfId="1139"/>
    <cellStyle name="_KT_TG_2_PT02-02" xfId="1140"/>
    <cellStyle name="_KT_TG_2_PT02-02_Book1" xfId="1141"/>
    <cellStyle name="_KT_TG_2_PT02-03" xfId="1142"/>
    <cellStyle name="_KT_TG_2_PT02-03_Book1" xfId="1143"/>
    <cellStyle name="_KT_TG_2_Qt-HT3PQ1(CauKho)" xfId="1144"/>
    <cellStyle name="_KT_TG_2_quy luong con lai nam 2004" xfId="140"/>
    <cellStyle name="_KT_TG_2_TEL OUT 2004" xfId="141"/>
    <cellStyle name="_KT_TG_2_Tong hop 3 tinh (11_5)-TTH-QN-QT" xfId="142"/>
    <cellStyle name="_KT_TG_2_ÿÿÿÿÿ" xfId="143"/>
    <cellStyle name="_KT_TG_3" xfId="144"/>
    <cellStyle name="_KT_TG_4" xfId="145"/>
    <cellStyle name="_KT_TG_4_Lora-tungchau" xfId="1145"/>
    <cellStyle name="_KT_TG_4_Qt-HT3PQ1(CauKho)" xfId="1146"/>
    <cellStyle name="_KT_TG_4_quy luong con lai nam 2004" xfId="146"/>
    <cellStyle name="_KT_TG_Book1" xfId="147"/>
    <cellStyle name="_KT_TG_DTDuong dong tien -sua tham tra 2009 - luong 650" xfId="148"/>
    <cellStyle name="_KT_TG_quy luong con lai nam 2004" xfId="149"/>
    <cellStyle name="_Kh ql62 (2010) 11-09" xfId="57"/>
    <cellStyle name="_KH.DTC.gd2016-2020 tinh (T2-2015)" xfId="1355"/>
    <cellStyle name="_Lora-tungchau" xfId="1147"/>
    <cellStyle name="_Lora-tungchau_Book1" xfId="1148"/>
    <cellStyle name="_MauThanTKKT-goi7-DonGia2143(vl t7)" xfId="150"/>
    <cellStyle name="_Nhu cau von ung truoc 2011 Tha h Hoa + Nge An gui TW" xfId="151"/>
    <cellStyle name="_PERSONAL" xfId="152"/>
    <cellStyle name="_PERSONAL_Book1" xfId="153"/>
    <cellStyle name="_PERSONAL_HTQ.8 GD1" xfId="1149"/>
    <cellStyle name="_PERSONAL_Tong hop KHCB 2001" xfId="154"/>
    <cellStyle name="_Phu luc kem BC gui VP Bo (18.2)" xfId="1150"/>
    <cellStyle name="_Q TOAN  SCTX QL.62 QUI I ( oanh)" xfId="155"/>
    <cellStyle name="_Q TOAN  SCTX QL.62 QUI II ( oanh)" xfId="156"/>
    <cellStyle name="_QT SCTXQL62_QT1 (Cty QL)" xfId="157"/>
    <cellStyle name="_Qt-HT3PQ1(CauKho)" xfId="1151"/>
    <cellStyle name="_quy luong con lai nam 2004" xfId="158"/>
    <cellStyle name="_Sheet1" xfId="159"/>
    <cellStyle name="_Sheet2" xfId="160"/>
    <cellStyle name="_TG-TH" xfId="161"/>
    <cellStyle name="_TG-TH_1" xfId="162"/>
    <cellStyle name="_TG-TH_1_BANG TONG HOP TINH HINH THANH QUYET TOAN (MOI I)" xfId="163"/>
    <cellStyle name="_TG-TH_1_BAO CAO KLCT PT2000" xfId="1152"/>
    <cellStyle name="_TG-TH_1_BAO CAO PT2000" xfId="1153"/>
    <cellStyle name="_TG-TH_1_BAO CAO PT2000_Book1" xfId="1154"/>
    <cellStyle name="_TG-TH_1_Bao cao XDCB 2001 - T11 KH dieu chinh 20-11-THAI" xfId="1155"/>
    <cellStyle name="_TG-TH_1_BAO GIA NGAY 24-10-08 (co dam)" xfId="164"/>
    <cellStyle name="_TG-TH_1_Book1" xfId="165"/>
    <cellStyle name="_TG-TH_1_Book1_1" xfId="166"/>
    <cellStyle name="_TG-TH_1_Book1_1_Book1" xfId="1156"/>
    <cellStyle name="_TG-TH_1_Book1_2" xfId="1157"/>
    <cellStyle name="_TG-TH_1_Book1_2_Book1" xfId="1158"/>
    <cellStyle name="_TG-TH_1_Book1_3" xfId="1159"/>
    <cellStyle name="_TG-TH_1_Book1_3_Book1" xfId="1160"/>
    <cellStyle name="_TG-TH_1_Book1_4" xfId="1161"/>
    <cellStyle name="_TG-TH_1_Book1_BC-QT-WB-dthao" xfId="1162"/>
    <cellStyle name="_TG-TH_1_Book1_Book1" xfId="1163"/>
    <cellStyle name="_TG-TH_1_Book1_Book1_1" xfId="1164"/>
    <cellStyle name="_TG-TH_1_Book1_Tong hop 3 tinh (11_5)-TTH-QN-QT" xfId="167"/>
    <cellStyle name="_TG-TH_1_CAU Khanh Nam(Thi Cong)" xfId="168"/>
    <cellStyle name="_TG-TH_1_DTCDT MR.2N110.HOCMON.TDTOAN.CCUNG" xfId="1165"/>
    <cellStyle name="_TG-TH_1_DTDuong dong tien -sua tham tra 2009 - luong 650" xfId="169"/>
    <cellStyle name="_TG-TH_1_DU TRU VAT TU" xfId="170"/>
    <cellStyle name="_TG-TH_1_Lora-tungchau" xfId="1166"/>
    <cellStyle name="_TG-TH_1_PGIA-phieu tham tra Kho bac" xfId="1167"/>
    <cellStyle name="_TG-TH_1_PT02-02" xfId="1168"/>
    <cellStyle name="_TG-TH_1_PT02-02_Book1" xfId="1169"/>
    <cellStyle name="_TG-TH_1_PT02-03" xfId="1170"/>
    <cellStyle name="_TG-TH_1_PT02-03_Book1" xfId="1171"/>
    <cellStyle name="_TG-TH_1_Qt-HT3PQ1(CauKho)" xfId="1172"/>
    <cellStyle name="_TG-TH_1_TEL OUT 2004" xfId="171"/>
    <cellStyle name="_TG-TH_1_Tong hop 3 tinh (11_5)-TTH-QN-QT" xfId="172"/>
    <cellStyle name="_TG-TH_1_ÿÿÿÿÿ" xfId="173"/>
    <cellStyle name="_TG-TH_2" xfId="174"/>
    <cellStyle name="_TG-TH_2_BANG TONG HOP TINH HINH THANH QUYET TOAN (MOI I)" xfId="175"/>
    <cellStyle name="_TG-TH_2_BAO CAO KLCT PT2000" xfId="1173"/>
    <cellStyle name="_TG-TH_2_BAO CAO PT2000" xfId="1174"/>
    <cellStyle name="_TG-TH_2_BAO CAO PT2000_Book1" xfId="1175"/>
    <cellStyle name="_TG-TH_2_Bao cao XDCB 2001 - T11 KH dieu chinh 20-11-THAI" xfId="1176"/>
    <cellStyle name="_TG-TH_2_BAO GIA NGAY 24-10-08 (co dam)" xfId="176"/>
    <cellStyle name="_TG-TH_2_Book1" xfId="177"/>
    <cellStyle name="_TG-TH_2_Book1_1" xfId="178"/>
    <cellStyle name="_TG-TH_2_Book1_1_Book1" xfId="1177"/>
    <cellStyle name="_TG-TH_2_Book1_2" xfId="1178"/>
    <cellStyle name="_TG-TH_2_Book1_2_Book1" xfId="1179"/>
    <cellStyle name="_TG-TH_2_Book1_3" xfId="1180"/>
    <cellStyle name="_TG-TH_2_Book1_3_Book1" xfId="1181"/>
    <cellStyle name="_TG-TH_2_Book1_4" xfId="1182"/>
    <cellStyle name="_TG-TH_2_Book1_4_Book1" xfId="1183"/>
    <cellStyle name="_TG-TH_2_Book1_5" xfId="1184"/>
    <cellStyle name="_TG-TH_2_Book1_Book1" xfId="1185"/>
    <cellStyle name="_TG-TH_2_Book1_Book1_1" xfId="1186"/>
    <cellStyle name="_TG-TH_2_Book1_Tong hop 3 tinh (11_5)-TTH-QN-QT" xfId="179"/>
    <cellStyle name="_TG-TH_2_CAU Khanh Nam(Thi Cong)" xfId="180"/>
    <cellStyle name="_TG-TH_2_DTCDT MR.2N110.HOCMON.TDTOAN.CCUNG" xfId="1187"/>
    <cellStyle name="_TG-TH_2_DTDuong dong tien -sua tham tra 2009 - luong 650" xfId="181"/>
    <cellStyle name="_TG-TH_2_DU TRU VAT TU" xfId="182"/>
    <cellStyle name="_TG-TH_2_Lora-tungchau" xfId="1188"/>
    <cellStyle name="_TG-TH_2_PGIA-phieu tham tra Kho bac" xfId="1189"/>
    <cellStyle name="_TG-TH_2_PT02-02" xfId="1190"/>
    <cellStyle name="_TG-TH_2_PT02-02_Book1" xfId="1191"/>
    <cellStyle name="_TG-TH_2_PT02-03" xfId="1192"/>
    <cellStyle name="_TG-TH_2_PT02-03_Book1" xfId="1193"/>
    <cellStyle name="_TG-TH_2_Qt-HT3PQ1(CauKho)" xfId="1194"/>
    <cellStyle name="_TG-TH_2_quy luong con lai nam 2004" xfId="183"/>
    <cellStyle name="_TG-TH_2_TEL OUT 2004" xfId="184"/>
    <cellStyle name="_TG-TH_2_Tong hop 3 tinh (11_5)-TTH-QN-QT" xfId="185"/>
    <cellStyle name="_TG-TH_2_ÿÿÿÿÿ" xfId="186"/>
    <cellStyle name="_TG-TH_3" xfId="187"/>
    <cellStyle name="_TG-TH_3_Lora-tungchau" xfId="1195"/>
    <cellStyle name="_TG-TH_3_Qt-HT3PQ1(CauKho)" xfId="1196"/>
    <cellStyle name="_TG-TH_3_quy luong con lai nam 2004" xfId="188"/>
    <cellStyle name="_TG-TH_4" xfId="189"/>
    <cellStyle name="_TG-TH_4_Book1" xfId="190"/>
    <cellStyle name="_TG-TH_4_DTDuong dong tien -sua tham tra 2009 - luong 650" xfId="191"/>
    <cellStyle name="_TG-TH_4_quy luong con lai nam 2004" xfId="192"/>
    <cellStyle name="_TKP" xfId="193"/>
    <cellStyle name="_Tong dutoan PP LAHAI" xfId="194"/>
    <cellStyle name="_Tong hop 3 tinh (11_5)-TTH-QN-QT" xfId="195"/>
    <cellStyle name="_Tong hop may cheu nganh 1" xfId="196"/>
    <cellStyle name="_ung 2011 - 11-6-Thanh hoa-Nghe an" xfId="197"/>
    <cellStyle name="_ung truoc 2011 NSTW Thanh Hoa + Nge An gui Thu 12-5" xfId="198"/>
    <cellStyle name="_ung truoc cua long an (6-5-2010)" xfId="199"/>
    <cellStyle name="_ung von chinh thuc doan kiem tra TAY NAM BO" xfId="200"/>
    <cellStyle name="_Ung von nam 2011 vung TNB - Doan Cong tac (12-5-2010)" xfId="201"/>
    <cellStyle name="_Ung von nam 2011 vung TNB - Doan Cong tac (12-5-2010)_Copy of ghep 3 bieu trinh LD BO 28-6 (TPCP)" xfId="202"/>
    <cellStyle name="_ÿÿÿÿÿ" xfId="203"/>
    <cellStyle name="_ÿÿÿÿÿ_Kh ql62 (2010) 11-09" xfId="204"/>
    <cellStyle name="_ÿÿÿÿÿ_TH" xfId="205"/>
    <cellStyle name="~1" xfId="206"/>
    <cellStyle name="’Ê‰Ý [0.00]_laroux" xfId="207"/>
    <cellStyle name="’Ê‰Ý_laroux" xfId="208"/>
    <cellStyle name="•W?_Format" xfId="209"/>
    <cellStyle name="•W€_¯–ì" xfId="210"/>
    <cellStyle name="•W_¯–ì" xfId="211"/>
    <cellStyle name="W_MARINE" xfId="212"/>
    <cellStyle name="0" xfId="213"/>
    <cellStyle name="0.0" xfId="214"/>
    <cellStyle name="0.00" xfId="215"/>
    <cellStyle name="1" xfId="216"/>
    <cellStyle name="1_2-Ha GiangBB2011-V1" xfId="1197"/>
    <cellStyle name="1_50-BB Vung tau 2011" xfId="1198"/>
    <cellStyle name="1_52-Long An2011.BB-V1" xfId="1199"/>
    <cellStyle name="1_7 noi 48 goi C5 9 vi na" xfId="217"/>
    <cellStyle name="1_BAO GIA NGAY 24-10-08 (co dam)" xfId="218"/>
    <cellStyle name="1_bieu tong hop" xfId="219"/>
    <cellStyle name="1_Book1" xfId="220"/>
    <cellStyle name="1_Book1_1" xfId="221"/>
    <cellStyle name="1_Cau thuy dien Ban La (Cu Anh)" xfId="222"/>
    <cellStyle name="1_Copy of ghep 3 bieu trinh LD BO 28-6 (TPCP)" xfId="223"/>
    <cellStyle name="1_DT972000" xfId="224"/>
    <cellStyle name="1_dtCau Km3+429,21TL685" xfId="225"/>
    <cellStyle name="1_Dtdchinh2397" xfId="226"/>
    <cellStyle name="1_Du toan 558 (Km17+508.12 - Km 22)" xfId="228"/>
    <cellStyle name="1_Du thau" xfId="227"/>
    <cellStyle name="1_Gia_VLQL48_duyet " xfId="229"/>
    <cellStyle name="1_GIA-DUTHAUsuaNS" xfId="230"/>
    <cellStyle name="1_KL km 0-km3+300 dieu chinh 4-2008" xfId="232"/>
    <cellStyle name="1_KLNM 1303" xfId="233"/>
    <cellStyle name="1_KlQdinhduyet" xfId="234"/>
    <cellStyle name="1_Kh ql62 (2010) 11-09" xfId="231"/>
    <cellStyle name="1_TonghopKL_BOY-sual2" xfId="238"/>
    <cellStyle name="1_TH" xfId="235"/>
    <cellStyle name="1_Thong ke cong" xfId="236"/>
    <cellStyle name="1_thong ke giao dan sinh" xfId="237"/>
    <cellStyle name="1_TRUNG PMU 5" xfId="239"/>
    <cellStyle name="1_ÿÿÿÿÿ" xfId="240"/>
    <cellStyle name="1_ÿÿÿÿÿ_Bieu tong hop nhu cau ung 2011 da chon loc -Mien nui" xfId="241"/>
    <cellStyle name="1_ÿÿÿÿÿ_Kh ql62 (2010) 11-09" xfId="242"/>
    <cellStyle name="1_ÿÿÿÿÿ_mau bieu doan giam sat 2010 (version 2)" xfId="243"/>
    <cellStyle name="1_ÿÿÿÿÿ_TH" xfId="244"/>
    <cellStyle name="18" xfId="245"/>
    <cellStyle name="¹éºÐÀ²_      " xfId="246"/>
    <cellStyle name="2" xfId="247"/>
    <cellStyle name="2_7 noi 48 goi C5 9 vi na" xfId="248"/>
    <cellStyle name="2_Book1" xfId="249"/>
    <cellStyle name="2_Book1_1" xfId="250"/>
    <cellStyle name="2_Cau thuy dien Ban La (Cu Anh)" xfId="251"/>
    <cellStyle name="2_Dtdchinh2397" xfId="252"/>
    <cellStyle name="2_Du toan 558 (Km17+508.12 - Km 22)" xfId="253"/>
    <cellStyle name="2_Gia_VLQL48_duyet " xfId="254"/>
    <cellStyle name="2_KLNM 1303" xfId="255"/>
    <cellStyle name="2_KlQdinhduyet" xfId="256"/>
    <cellStyle name="2_Thong ke cong" xfId="257"/>
    <cellStyle name="2_thong ke giao dan sinh" xfId="258"/>
    <cellStyle name="2_TRUNG PMU 5" xfId="259"/>
    <cellStyle name="2_ÿÿÿÿÿ" xfId="260"/>
    <cellStyle name="2_ÿÿÿÿÿ_Bieu tong hop nhu cau ung 2011 da chon loc -Mien nui" xfId="261"/>
    <cellStyle name="2_ÿÿÿÿÿ_mau bieu doan giam sat 2010 (version 2)" xfId="262"/>
    <cellStyle name="20" xfId="263"/>
    <cellStyle name="20% - Accent1 2" xfId="1356"/>
    <cellStyle name="20% - Accent2 2" xfId="1357"/>
    <cellStyle name="20% - Accent3 2" xfId="1358"/>
    <cellStyle name="20% - Accent4 2" xfId="1359"/>
    <cellStyle name="20% - Accent5 2" xfId="1360"/>
    <cellStyle name="20% - Accent6 2" xfId="1361"/>
    <cellStyle name="20% - Nhấn1" xfId="264"/>
    <cellStyle name="20% - Nhấn2" xfId="265"/>
    <cellStyle name="20% - Nhấn3" xfId="266"/>
    <cellStyle name="20% - Nhấn4" xfId="267"/>
    <cellStyle name="20% - Nhấn5" xfId="268"/>
    <cellStyle name="20% - Nhấn6" xfId="269"/>
    <cellStyle name="-2001" xfId="270"/>
    <cellStyle name="3" xfId="271"/>
    <cellStyle name="3_7 noi 48 goi C5 9 vi na" xfId="272"/>
    <cellStyle name="3_Book1" xfId="273"/>
    <cellStyle name="3_Book1_1" xfId="274"/>
    <cellStyle name="3_Cau thuy dien Ban La (Cu Anh)" xfId="275"/>
    <cellStyle name="3_Dtdchinh2397" xfId="276"/>
    <cellStyle name="3_Du toan 558 (Km17+508.12 - Km 22)" xfId="277"/>
    <cellStyle name="3_Gia_VLQL48_duyet " xfId="278"/>
    <cellStyle name="3_KLNM 1303" xfId="279"/>
    <cellStyle name="3_KlQdinhduyet" xfId="280"/>
    <cellStyle name="3_Thong ke cong" xfId="281"/>
    <cellStyle name="3_thong ke giao dan sinh" xfId="282"/>
    <cellStyle name="3_ÿÿÿÿÿ" xfId="283"/>
    <cellStyle name="4" xfId="284"/>
    <cellStyle name="4_7 noi 48 goi C5 9 vi na" xfId="285"/>
    <cellStyle name="4_Book1" xfId="286"/>
    <cellStyle name="4_Book1_1" xfId="287"/>
    <cellStyle name="4_Cau thuy dien Ban La (Cu Anh)" xfId="288"/>
    <cellStyle name="4_Dtdchinh2397" xfId="289"/>
    <cellStyle name="4_Du toan 558 (Km17+508.12 - Km 22)" xfId="290"/>
    <cellStyle name="4_Gia_VLQL48_duyet " xfId="291"/>
    <cellStyle name="4_KLNM 1303" xfId="292"/>
    <cellStyle name="4_KlQdinhduyet" xfId="293"/>
    <cellStyle name="4_Thong ke cong" xfId="294"/>
    <cellStyle name="4_thong ke giao dan sinh" xfId="295"/>
    <cellStyle name="4_ÿÿÿÿÿ" xfId="296"/>
    <cellStyle name="40% - Accent1 2" xfId="1362"/>
    <cellStyle name="40% - Accent2 2" xfId="1363"/>
    <cellStyle name="40% - Accent3 2" xfId="1364"/>
    <cellStyle name="40% - Accent4 2" xfId="1365"/>
    <cellStyle name="40% - Accent5 2" xfId="1366"/>
    <cellStyle name="40% - Accent6 2" xfId="1367"/>
    <cellStyle name="40% - Nhấn1" xfId="297"/>
    <cellStyle name="40% - Nhấn2" xfId="298"/>
    <cellStyle name="40% - Nhấn3" xfId="299"/>
    <cellStyle name="40% - Nhấn4" xfId="300"/>
    <cellStyle name="40% - Nhấn5" xfId="301"/>
    <cellStyle name="40% - Nhấn6" xfId="302"/>
    <cellStyle name="6" xfId="303"/>
    <cellStyle name="6_Bieu mau ung 2011-Mien Trung-TPCP-11-6" xfId="304"/>
    <cellStyle name="6_Copy of ghep 3 bieu trinh LD BO 28-6 (TPCP)" xfId="305"/>
    <cellStyle name="6_DTDuong dong tien -sua tham tra 2009 - luong 650" xfId="306"/>
    <cellStyle name="6_Nhu cau tam ung NSNN&amp;TPCP&amp;ODA theo tieu chi cua Bo (CV410_BKH-TH)_vung Tay Nguyen (11.6.2010)" xfId="307"/>
    <cellStyle name="6_TH" xfId="308"/>
    <cellStyle name="60% - Accent1 2" xfId="1368"/>
    <cellStyle name="60% - Accent2 2" xfId="1369"/>
    <cellStyle name="60% - Accent3 2" xfId="1370"/>
    <cellStyle name="60% - Accent4 2" xfId="1371"/>
    <cellStyle name="60% - Accent5 2" xfId="1372"/>
    <cellStyle name="60% - Accent6 2" xfId="1373"/>
    <cellStyle name="60% - Nhấn1" xfId="309"/>
    <cellStyle name="60% - Nhấn2" xfId="310"/>
    <cellStyle name="60% - Nhấn3" xfId="311"/>
    <cellStyle name="60% - Nhấn4" xfId="312"/>
    <cellStyle name="60% - Nhấn5" xfId="313"/>
    <cellStyle name="60% - Nhấn6" xfId="314"/>
    <cellStyle name="9" xfId="315"/>
    <cellStyle name="Accent1 2" xfId="1374"/>
    <cellStyle name="Accent2 2" xfId="1375"/>
    <cellStyle name="Accent3 2" xfId="1376"/>
    <cellStyle name="Accent4 2" xfId="1377"/>
    <cellStyle name="Accent5 2" xfId="1378"/>
    <cellStyle name="Accent6 2" xfId="1379"/>
    <cellStyle name="ÅëÈ­ [0]_      " xfId="316"/>
    <cellStyle name="AeE­ [0]_INQUIRY ¿?¾÷AßAø " xfId="317"/>
    <cellStyle name="ÅëÈ­ [0]_L601CPT" xfId="318"/>
    <cellStyle name="ÅëÈ­_      " xfId="319"/>
    <cellStyle name="AeE­_INQUIRY ¿?¾÷AßAø " xfId="320"/>
    <cellStyle name="ÅëÈ­_L601CPT" xfId="321"/>
    <cellStyle name="args.style" xfId="322"/>
    <cellStyle name="at" xfId="323"/>
    <cellStyle name="ÄÞ¸¶ [0]_      " xfId="324"/>
    <cellStyle name="AÞ¸¶ [0]_INQUIRY ¿?¾÷AßAø " xfId="325"/>
    <cellStyle name="ÄÞ¸¶ [0]_L601CPT" xfId="326"/>
    <cellStyle name="ÄÞ¸¶_      " xfId="327"/>
    <cellStyle name="AÞ¸¶_INQUIRY ¿?¾÷AßAø " xfId="328"/>
    <cellStyle name="ÄÞ¸¶_L601CPT" xfId="329"/>
    <cellStyle name="AutoFormat Options" xfId="330"/>
    <cellStyle name="Bad 2" xfId="1380"/>
    <cellStyle name="Body" xfId="331"/>
    <cellStyle name="C?AØ_¿?¾÷CoE² " xfId="332"/>
    <cellStyle name="C~1" xfId="333"/>
    <cellStyle name="Ç¥ÁØ_      " xfId="334"/>
    <cellStyle name="C￥AØ_¿μ¾÷CoE² " xfId="335"/>
    <cellStyle name="Ç¥ÁØ_±¸¹Ì´ëÃ¥" xfId="336"/>
    <cellStyle name="C￥AØ_Sheet1_¿μ¾÷CoE² " xfId="337"/>
    <cellStyle name="Ç¥ÁØ_ÿÿÿÿÿÿ_4_ÃÑÇÕ°è " xfId="338"/>
    <cellStyle name="Calc Currency (0)" xfId="339"/>
    <cellStyle name="Calc Currency (2)" xfId="340"/>
    <cellStyle name="Calc Percent (0)" xfId="341"/>
    <cellStyle name="Calc Percent (1)" xfId="342"/>
    <cellStyle name="Calc Percent (2)" xfId="343"/>
    <cellStyle name="Calc Units (0)" xfId="344"/>
    <cellStyle name="Calc Units (1)" xfId="345"/>
    <cellStyle name="Calc Units (2)" xfId="346"/>
    <cellStyle name="Calculation 2" xfId="1381"/>
    <cellStyle name="category" xfId="347"/>
    <cellStyle name="Cerrency_Sheet2_XANGDAU" xfId="348"/>
    <cellStyle name="Comma" xfId="962" builtinId="3"/>
    <cellStyle name="Comma  - Style1" xfId="352"/>
    <cellStyle name="Comma  - Style2" xfId="353"/>
    <cellStyle name="Comma  - Style3" xfId="354"/>
    <cellStyle name="Comma  - Style4" xfId="355"/>
    <cellStyle name="Comma  - Style5" xfId="356"/>
    <cellStyle name="Comma  - Style6" xfId="357"/>
    <cellStyle name="Comma  - Style7" xfId="358"/>
    <cellStyle name="Comma  - Style8" xfId="359"/>
    <cellStyle name="Comma [0] 2" xfId="6"/>
    <cellStyle name="Comma [0] 2 2" xfId="360"/>
    <cellStyle name="Comma [0] 2 2 2" xfId="1204"/>
    <cellStyle name="Comma [0] 2 3" xfId="361"/>
    <cellStyle name="Comma [0] 3" xfId="965"/>
    <cellStyle name="Comma [00]" xfId="362"/>
    <cellStyle name="Comma 10" xfId="974"/>
    <cellStyle name="Comma 10 10" xfId="1383"/>
    <cellStyle name="Comma 10 2" xfId="1008"/>
    <cellStyle name="Comma 11" xfId="976"/>
    <cellStyle name="Comma 12" xfId="363"/>
    <cellStyle name="Comma 13" xfId="978"/>
    <cellStyle name="Comma 14" xfId="980"/>
    <cellStyle name="Comma 14 2" xfId="1205"/>
    <cellStyle name="Comma 15" xfId="972"/>
    <cellStyle name="Comma 15 2" xfId="1206"/>
    <cellStyle name="Comma 16" xfId="982"/>
    <cellStyle name="Comma 16 2" xfId="1207"/>
    <cellStyle name="Comma 17" xfId="985"/>
    <cellStyle name="Comma 18" xfId="988"/>
    <cellStyle name="Comma 19" xfId="987"/>
    <cellStyle name="Comma 19 2" xfId="1208"/>
    <cellStyle name="Comma 2" xfId="3"/>
    <cellStyle name="Comma 2 10" xfId="1209"/>
    <cellStyle name="Comma 2 11" xfId="1210"/>
    <cellStyle name="Comma 2 2" xfId="4"/>
    <cellStyle name="Comma 2 2 2" xfId="1211"/>
    <cellStyle name="Comma 2 2 2 2" xfId="1212"/>
    <cellStyle name="Comma 2 2 2 3" xfId="1213"/>
    <cellStyle name="Comma 2 2 2 4" xfId="1214"/>
    <cellStyle name="Comma 2 2 3" xfId="1215"/>
    <cellStyle name="Comma 2 2 4" xfId="1216"/>
    <cellStyle name="Comma 2 2 5" xfId="1217"/>
    <cellStyle name="Comma 2 2 6" xfId="1218"/>
    <cellStyle name="Comma 2 2 7" xfId="1219"/>
    <cellStyle name="Comma 2 2 8" xfId="1220"/>
    <cellStyle name="Comma 2 2 9" xfId="1221"/>
    <cellStyle name="Comma 2 28" xfId="1384"/>
    <cellStyle name="Comma 2 3" xfId="364"/>
    <cellStyle name="Comma 2 3 2" xfId="966"/>
    <cellStyle name="Comma 2 3 2 2" xfId="1222"/>
    <cellStyle name="Comma 2 4" xfId="365"/>
    <cellStyle name="Comma 2 4 2" xfId="1223"/>
    <cellStyle name="Comma 2 4 3" xfId="1224"/>
    <cellStyle name="Comma 2 4 4" xfId="1225"/>
    <cellStyle name="Comma 2 5" xfId="1226"/>
    <cellStyle name="Comma 2 5 2" xfId="1227"/>
    <cellStyle name="Comma 2 5 3" xfId="1228"/>
    <cellStyle name="Comma 2 5 4" xfId="1229"/>
    <cellStyle name="Comma 2 6" xfId="1230"/>
    <cellStyle name="Comma 2 6 2" xfId="1231"/>
    <cellStyle name="Comma 2 7" xfId="1232"/>
    <cellStyle name="Comma 2 7 2" xfId="1233"/>
    <cellStyle name="Comma 2 8" xfId="1234"/>
    <cellStyle name="Comma 2 8 2" xfId="1235"/>
    <cellStyle name="Comma 2 9" xfId="1236"/>
    <cellStyle name="Comma 2 9 2" xfId="1009"/>
    <cellStyle name="Comma 2_22 Tổng hợp điểm thi của thí sinh dự thi CC ngày 23.24.2012 đã kiểm tra_CHUAN" xfId="1414"/>
    <cellStyle name="Comma 20" xfId="990"/>
    <cellStyle name="Comma 20 2" xfId="1237"/>
    <cellStyle name="Comma 21" xfId="1002"/>
    <cellStyle name="Comma 22" xfId="1238"/>
    <cellStyle name="Comma 23" xfId="1239"/>
    <cellStyle name="Comma 24" xfId="1240"/>
    <cellStyle name="Comma 25" xfId="1241"/>
    <cellStyle name="Comma 3" xfId="5"/>
    <cellStyle name="Comma 3 2" xfId="996"/>
    <cellStyle name="Comma 3 2 2" xfId="1242"/>
    <cellStyle name="Comma 3 2 3" xfId="1243"/>
    <cellStyle name="Comma 3 2 4" xfId="1244"/>
    <cellStyle name="Comma 3 2 5" xfId="1245"/>
    <cellStyle name="Comma 3 2 6" xfId="1246"/>
    <cellStyle name="Comma 3 3" xfId="1005"/>
    <cellStyle name="Comma 3 4" xfId="1247"/>
    <cellStyle name="Comma 3 5" xfId="1007"/>
    <cellStyle name="Comma 4" xfId="366"/>
    <cellStyle name="Comma 4 2" xfId="367"/>
    <cellStyle name="Comma 4 2 2" xfId="1248"/>
    <cellStyle name="Comma 4 20" xfId="1385"/>
    <cellStyle name="Comma 4 3" xfId="1249"/>
    <cellStyle name="Comma 4 4" xfId="1386"/>
    <cellStyle name="Comma 5" xfId="368"/>
    <cellStyle name="Comma 5 2" xfId="1250"/>
    <cellStyle name="Comma 5 3" xfId="1251"/>
    <cellStyle name="Comma 5 4" xfId="1252"/>
    <cellStyle name="Comma 5 5" xfId="1253"/>
    <cellStyle name="Comma 5 6" xfId="1254"/>
    <cellStyle name="Comma 6" xfId="369"/>
    <cellStyle name="Comma 6 2" xfId="1255"/>
    <cellStyle name="Comma 7" xfId="370"/>
    <cellStyle name="Comma 7 2" xfId="1256"/>
    <cellStyle name="Comma 8" xfId="964"/>
    <cellStyle name="Comma 8 2" xfId="1257"/>
    <cellStyle name="Comma 9" xfId="970"/>
    <cellStyle name="Comma 9 2" xfId="1258"/>
    <cellStyle name="comma zerodec" xfId="371"/>
    <cellStyle name="Comma0" xfId="372"/>
    <cellStyle name="Comma0 - Modelo1" xfId="373"/>
    <cellStyle name="Comma0 - Style1" xfId="374"/>
    <cellStyle name="Comma0 2" xfId="1259"/>
    <cellStyle name="Comma0 3" xfId="1260"/>
    <cellStyle name="Comma0 4" xfId="1261"/>
    <cellStyle name="Comma0 5" xfId="1262"/>
    <cellStyle name="Comma0 6" xfId="1263"/>
    <cellStyle name="Comma1 - Modelo2" xfId="375"/>
    <cellStyle name="Comma1 - Style2" xfId="376"/>
    <cellStyle name="cong" xfId="377"/>
    <cellStyle name="Copied" xfId="378"/>
    <cellStyle name="Cࡵrrency_Sheet1_PRODUCTĠ" xfId="379"/>
    <cellStyle name="Currency [00]" xfId="380"/>
    <cellStyle name="Currency0" xfId="381"/>
    <cellStyle name="Currency0 2" xfId="1264"/>
    <cellStyle name="Currency0 3" xfId="1265"/>
    <cellStyle name="Currency0 4" xfId="1266"/>
    <cellStyle name="Currency1" xfId="382"/>
    <cellStyle name="Check Cell 2" xfId="1382"/>
    <cellStyle name="Chi phÝ kh¸c_Book1" xfId="349"/>
    <cellStyle name="chu" xfId="350"/>
    <cellStyle name="Chuẩn 2" xfId="1200"/>
    <cellStyle name="Chuẩn 3" xfId="1201"/>
    <cellStyle name="Chuẩn 4" xfId="1202"/>
    <cellStyle name="Chuẩn 5" xfId="1203"/>
    <cellStyle name="CHUONG" xfId="351"/>
    <cellStyle name="D1" xfId="383"/>
    <cellStyle name="Date" xfId="384"/>
    <cellStyle name="Date 2" xfId="1267"/>
    <cellStyle name="Date 3" xfId="1268"/>
    <cellStyle name="Date 4" xfId="1269"/>
    <cellStyle name="Date Short" xfId="385"/>
    <cellStyle name="Date_Book1" xfId="386"/>
    <cellStyle name="DAUDE" xfId="389"/>
    <cellStyle name="Dấu phảy 2" xfId="1270"/>
    <cellStyle name="Dấu phảy 3" xfId="1271"/>
    <cellStyle name="Dấu phảy 4" xfId="1272"/>
    <cellStyle name="Dấu phảy 5" xfId="1273"/>
    <cellStyle name="Dấu phảy 6" xfId="1274"/>
    <cellStyle name="Dấu phảy 6 2" xfId="1275"/>
    <cellStyle name="Dấu phảy 6 3" xfId="1276"/>
    <cellStyle name="Dấu phảy 6 4" xfId="1277"/>
    <cellStyle name="DELTA" xfId="394"/>
    <cellStyle name="Dezimal [0]_35ERI8T2gbIEMixb4v26icuOo" xfId="395"/>
    <cellStyle name="Dezimal_35ERI8T2gbIEMixb4v26icuOo" xfId="396"/>
    <cellStyle name="Dg" xfId="397"/>
    <cellStyle name="Dgia" xfId="398"/>
    <cellStyle name="Dia" xfId="399"/>
    <cellStyle name="Dollar (zero dec)" xfId="400"/>
    <cellStyle name="Don gia" xfId="401"/>
    <cellStyle name="Dung" xfId="402"/>
    <cellStyle name="Dziesi?tny [0]_Invoices2001Slovakia" xfId="403"/>
    <cellStyle name="Dziesi?tny_Invoices2001Slovakia" xfId="404"/>
    <cellStyle name="Dziesietny [0]_Invoices2001Slovakia" xfId="405"/>
    <cellStyle name="Dziesiętny [0]_Invoices2001Slovakia" xfId="406"/>
    <cellStyle name="Dziesietny [0]_Invoices2001Slovakia_01_Nha so 1_Dien" xfId="407"/>
    <cellStyle name="Dziesiętny [0]_Invoices2001Slovakia_01_Nha so 1_Dien" xfId="408"/>
    <cellStyle name="Dziesietny [0]_Invoices2001Slovakia_10_Nha so 10_Dien1" xfId="409"/>
    <cellStyle name="Dziesiętny [0]_Invoices2001Slovakia_10_Nha so 10_Dien1" xfId="410"/>
    <cellStyle name="Dziesietny [0]_Invoices2001Slovakia_Book1" xfId="411"/>
    <cellStyle name="Dziesiętny [0]_Invoices2001Slovakia_Book1" xfId="412"/>
    <cellStyle name="Dziesietny [0]_Invoices2001Slovakia_Book1_1" xfId="413"/>
    <cellStyle name="Dziesiętny [0]_Invoices2001Slovakia_Book1_1" xfId="414"/>
    <cellStyle name="Dziesietny [0]_Invoices2001Slovakia_Book1_1_Book1" xfId="415"/>
    <cellStyle name="Dziesiętny [0]_Invoices2001Slovakia_Book1_1_Book1" xfId="416"/>
    <cellStyle name="Dziesietny [0]_Invoices2001Slovakia_Book1_2" xfId="417"/>
    <cellStyle name="Dziesiętny [0]_Invoices2001Slovakia_Book1_2" xfId="418"/>
    <cellStyle name="Dziesietny [0]_Invoices2001Slovakia_Book1_Nhu cau von ung truoc 2011 Tha h Hoa + Nge An gui TW" xfId="419"/>
    <cellStyle name="Dziesiętny [0]_Invoices2001Slovakia_Book1_Nhu cau von ung truoc 2011 Tha h Hoa + Nge An gui TW" xfId="420"/>
    <cellStyle name="Dziesietny [0]_Invoices2001Slovakia_Book1_Tong hop Cac tuyen(9-1-06)" xfId="421"/>
    <cellStyle name="Dziesiętny [0]_Invoices2001Slovakia_Book1_Tong hop Cac tuyen(9-1-06)" xfId="422"/>
    <cellStyle name="Dziesietny [0]_Invoices2001Slovakia_Book1_ung 2011 - 11-6-Thanh hoa-Nghe an" xfId="423"/>
    <cellStyle name="Dziesiętny [0]_Invoices2001Slovakia_Book1_ung 2011 - 11-6-Thanh hoa-Nghe an" xfId="424"/>
    <cellStyle name="Dziesietny [0]_Invoices2001Slovakia_Book1_ung truoc 2011 NSTW Thanh Hoa + Nge An gui Thu 12-5" xfId="425"/>
    <cellStyle name="Dziesiętny [0]_Invoices2001Slovakia_Book1_ung truoc 2011 NSTW Thanh Hoa + Nge An gui Thu 12-5" xfId="426"/>
    <cellStyle name="Dziesietny [0]_Invoices2001Slovakia_d-uong+TDT" xfId="427"/>
    <cellStyle name="Dziesiętny [0]_Invoices2001Slovakia_Nhµ ®Ó xe" xfId="428"/>
    <cellStyle name="Dziesietny [0]_Invoices2001Slovakia_Nha bao ve(28-7-05)" xfId="429"/>
    <cellStyle name="Dziesiętny [0]_Invoices2001Slovakia_Nha bao ve(28-7-05)" xfId="430"/>
    <cellStyle name="Dziesietny [0]_Invoices2001Slovakia_NHA de xe nguyen du" xfId="431"/>
    <cellStyle name="Dziesiętny [0]_Invoices2001Slovakia_NHA de xe nguyen du" xfId="432"/>
    <cellStyle name="Dziesietny [0]_Invoices2001Slovakia_Nhalamviec VTC(25-1-05)" xfId="433"/>
    <cellStyle name="Dziesiętny [0]_Invoices2001Slovakia_Nhalamviec VTC(25-1-05)" xfId="434"/>
    <cellStyle name="Dziesietny [0]_Invoices2001Slovakia_Nhu cau von ung truoc 2011 Tha h Hoa + Nge An gui TW" xfId="435"/>
    <cellStyle name="Dziesiętny [0]_Invoices2001Slovakia_TDT KHANH HOA" xfId="436"/>
    <cellStyle name="Dziesietny [0]_Invoices2001Slovakia_TDT KHANH HOA_Tong hop Cac tuyen(9-1-06)" xfId="437"/>
    <cellStyle name="Dziesiętny [0]_Invoices2001Slovakia_TDT KHANH HOA_Tong hop Cac tuyen(9-1-06)" xfId="438"/>
    <cellStyle name="Dziesietny [0]_Invoices2001Slovakia_TDT quangngai" xfId="439"/>
    <cellStyle name="Dziesiętny [0]_Invoices2001Slovakia_TDT quangngai" xfId="440"/>
    <cellStyle name="Dziesietny [0]_Invoices2001Slovakia_TMDT(10-5-06)" xfId="441"/>
    <cellStyle name="Dziesietny_Invoices2001Slovakia" xfId="442"/>
    <cellStyle name="Dziesiętny_Invoices2001Slovakia" xfId="443"/>
    <cellStyle name="Dziesietny_Invoices2001Slovakia_01_Nha so 1_Dien" xfId="444"/>
    <cellStyle name="Dziesiętny_Invoices2001Slovakia_01_Nha so 1_Dien" xfId="445"/>
    <cellStyle name="Dziesietny_Invoices2001Slovakia_10_Nha so 10_Dien1" xfId="446"/>
    <cellStyle name="Dziesiętny_Invoices2001Slovakia_10_Nha so 10_Dien1" xfId="447"/>
    <cellStyle name="Dziesietny_Invoices2001Slovakia_Book1" xfId="448"/>
    <cellStyle name="Dziesiętny_Invoices2001Slovakia_Book1" xfId="449"/>
    <cellStyle name="Dziesietny_Invoices2001Slovakia_Book1_1" xfId="450"/>
    <cellStyle name="Dziesiętny_Invoices2001Slovakia_Book1_1" xfId="451"/>
    <cellStyle name="Dziesietny_Invoices2001Slovakia_Book1_1_Book1" xfId="452"/>
    <cellStyle name="Dziesiętny_Invoices2001Slovakia_Book1_1_Book1" xfId="453"/>
    <cellStyle name="Dziesietny_Invoices2001Slovakia_Book1_2" xfId="454"/>
    <cellStyle name="Dziesiętny_Invoices2001Slovakia_Book1_2" xfId="455"/>
    <cellStyle name="Dziesietny_Invoices2001Slovakia_Book1_Nhu cau von ung truoc 2011 Tha h Hoa + Nge An gui TW" xfId="456"/>
    <cellStyle name="Dziesiętny_Invoices2001Slovakia_Book1_Nhu cau von ung truoc 2011 Tha h Hoa + Nge An gui TW" xfId="457"/>
    <cellStyle name="Dziesietny_Invoices2001Slovakia_Book1_Tong hop Cac tuyen(9-1-06)" xfId="458"/>
    <cellStyle name="Dziesiętny_Invoices2001Slovakia_Book1_Tong hop Cac tuyen(9-1-06)" xfId="459"/>
    <cellStyle name="Dziesietny_Invoices2001Slovakia_Book1_ung 2011 - 11-6-Thanh hoa-Nghe an" xfId="460"/>
    <cellStyle name="Dziesiętny_Invoices2001Slovakia_Book1_ung 2011 - 11-6-Thanh hoa-Nghe an" xfId="461"/>
    <cellStyle name="Dziesietny_Invoices2001Slovakia_Book1_ung truoc 2011 NSTW Thanh Hoa + Nge An gui Thu 12-5" xfId="462"/>
    <cellStyle name="Dziesiętny_Invoices2001Slovakia_Book1_ung truoc 2011 NSTW Thanh Hoa + Nge An gui Thu 12-5" xfId="463"/>
    <cellStyle name="Dziesietny_Invoices2001Slovakia_d-uong+TDT" xfId="464"/>
    <cellStyle name="Dziesiętny_Invoices2001Slovakia_Nhµ ®Ó xe" xfId="465"/>
    <cellStyle name="Dziesietny_Invoices2001Slovakia_Nha bao ve(28-7-05)" xfId="466"/>
    <cellStyle name="Dziesiętny_Invoices2001Slovakia_Nha bao ve(28-7-05)" xfId="467"/>
    <cellStyle name="Dziesietny_Invoices2001Slovakia_NHA de xe nguyen du" xfId="468"/>
    <cellStyle name="Dziesiętny_Invoices2001Slovakia_NHA de xe nguyen du" xfId="469"/>
    <cellStyle name="Dziesietny_Invoices2001Slovakia_Nhalamviec VTC(25-1-05)" xfId="470"/>
    <cellStyle name="Dziesiętny_Invoices2001Slovakia_Nhalamviec VTC(25-1-05)" xfId="471"/>
    <cellStyle name="Dziesietny_Invoices2001Slovakia_Nhu cau von ung truoc 2011 Tha h Hoa + Nge An gui TW" xfId="472"/>
    <cellStyle name="Dziesiętny_Invoices2001Slovakia_TDT KHANH HOA" xfId="473"/>
    <cellStyle name="Dziesietny_Invoices2001Slovakia_TDT KHANH HOA_Tong hop Cac tuyen(9-1-06)" xfId="474"/>
    <cellStyle name="Dziesiętny_Invoices2001Slovakia_TDT KHANH HOA_Tong hop Cac tuyen(9-1-06)" xfId="475"/>
    <cellStyle name="Dziesietny_Invoices2001Slovakia_TDT quangngai" xfId="476"/>
    <cellStyle name="Dziesiętny_Invoices2001Slovakia_TDT quangngai" xfId="477"/>
    <cellStyle name="Dziesietny_Invoices2001Slovakia_TMDT(10-5-06)" xfId="478"/>
    <cellStyle name="Đầu ra" xfId="387"/>
    <cellStyle name="Đầu vào" xfId="388"/>
    <cellStyle name="Đề mục 1" xfId="390"/>
    <cellStyle name="Đề mục 2" xfId="391"/>
    <cellStyle name="Đề mục 3" xfId="392"/>
    <cellStyle name="Đề mục 4" xfId="393"/>
    <cellStyle name="e" xfId="479"/>
    <cellStyle name="Encabez1" xfId="480"/>
    <cellStyle name="Encabez2" xfId="481"/>
    <cellStyle name="Enter Currency (0)" xfId="482"/>
    <cellStyle name="Enter Currency (2)" xfId="483"/>
    <cellStyle name="Enter Units (0)" xfId="484"/>
    <cellStyle name="Enter Units (1)" xfId="485"/>
    <cellStyle name="Enter Units (2)" xfId="486"/>
    <cellStyle name="Entered" xfId="487"/>
    <cellStyle name="En-tete1" xfId="1278"/>
    <cellStyle name="En-tete2" xfId="1279"/>
    <cellStyle name="Euro" xfId="488"/>
    <cellStyle name="Excel Built-in Normal" xfId="1280"/>
    <cellStyle name="Explanatory Text 2" xfId="1387"/>
    <cellStyle name="f" xfId="489"/>
    <cellStyle name="F2" xfId="490"/>
    <cellStyle name="F3" xfId="491"/>
    <cellStyle name="F4" xfId="492"/>
    <cellStyle name="F5" xfId="493"/>
    <cellStyle name="F6" xfId="494"/>
    <cellStyle name="F7" xfId="495"/>
    <cellStyle name="F8" xfId="496"/>
    <cellStyle name="Fijo" xfId="497"/>
    <cellStyle name="Financier" xfId="1281"/>
    <cellStyle name="Financiero" xfId="498"/>
    <cellStyle name="Fixe" xfId="1282"/>
    <cellStyle name="Fixed" xfId="499"/>
    <cellStyle name="Fixed 2" xfId="1283"/>
    <cellStyle name="Fixed 3" xfId="1284"/>
    <cellStyle name="Fixed 4" xfId="1285"/>
    <cellStyle name="Font Britannic16" xfId="500"/>
    <cellStyle name="Font Britannic18" xfId="501"/>
    <cellStyle name="Font CenturyCond 18" xfId="502"/>
    <cellStyle name="Font Cond20" xfId="503"/>
    <cellStyle name="Font LucidaSans16" xfId="504"/>
    <cellStyle name="Font NewCenturyCond18" xfId="505"/>
    <cellStyle name="Font Ottawa14" xfId="506"/>
    <cellStyle name="Font Ottawa16" xfId="507"/>
    <cellStyle name="Formulas" xfId="508"/>
    <cellStyle name="Ghi chú" xfId="509"/>
    <cellStyle name="Good 2" xfId="1388"/>
    <cellStyle name="Grey" xfId="511"/>
    <cellStyle name="Group" xfId="512"/>
    <cellStyle name="gia" xfId="510"/>
    <cellStyle name="H" xfId="513"/>
    <cellStyle name="ha" xfId="514"/>
    <cellStyle name="HAI" xfId="1286"/>
    <cellStyle name="Head 1" xfId="515"/>
    <cellStyle name="HEADER" xfId="516"/>
    <cellStyle name="Header1" xfId="517"/>
    <cellStyle name="Header2" xfId="518"/>
    <cellStyle name="Heading 1 2" xfId="1389"/>
    <cellStyle name="Heading 2 2" xfId="1390"/>
    <cellStyle name="Heading 3 2" xfId="1391"/>
    <cellStyle name="Heading 4 2" xfId="1392"/>
    <cellStyle name="Heading1" xfId="519"/>
    <cellStyle name="Heading2" xfId="520"/>
    <cellStyle name="HEADINGS" xfId="521"/>
    <cellStyle name="HEADINGSTOP" xfId="522"/>
    <cellStyle name="headoption" xfId="523"/>
    <cellStyle name="hoa" xfId="524"/>
    <cellStyle name="Hoa-Scholl" xfId="525"/>
    <cellStyle name="HUY" xfId="526"/>
    <cellStyle name="i phÝ kh¸c_B¶ng 2" xfId="527"/>
    <cellStyle name="I.3" xfId="528"/>
    <cellStyle name="i·0" xfId="529"/>
    <cellStyle name="ï-¾È»ê_BiÓu TB" xfId="530"/>
    <cellStyle name="Input [yellow]" xfId="531"/>
    <cellStyle name="Input 2" xfId="1393"/>
    <cellStyle name="k" xfId="532"/>
    <cellStyle name="k_TONG HOP KINH PHI" xfId="533"/>
    <cellStyle name="k_ÿÿÿÿÿ" xfId="534"/>
    <cellStyle name="k_ÿÿÿÿÿ_1" xfId="535"/>
    <cellStyle name="k_ÿÿÿÿÿ_2" xfId="536"/>
    <cellStyle name="Kiểm tra Ô" xfId="541"/>
    <cellStyle name="KL" xfId="542"/>
    <cellStyle name="kh¸c_Bang Chi tieu" xfId="537"/>
    <cellStyle name="khanh" xfId="538"/>
    <cellStyle name="khoa2" xfId="539"/>
    <cellStyle name="khung" xfId="540"/>
    <cellStyle name="Ledger 17 x 11 in" xfId="543"/>
    <cellStyle name="Ledger 17 x 11 in 2" xfId="1394"/>
    <cellStyle name="Ledger 17 x 11 in 3" xfId="1395"/>
    <cellStyle name="Ledger 17 x 11 in_chinh thuc 8.3" xfId="997"/>
    <cellStyle name="left" xfId="544"/>
    <cellStyle name="Line" xfId="545"/>
    <cellStyle name="Link Currency (0)" xfId="546"/>
    <cellStyle name="Link Currency (2)" xfId="547"/>
    <cellStyle name="Link Units (0)" xfId="548"/>
    <cellStyle name="Link Units (1)" xfId="549"/>
    <cellStyle name="Link Units (2)" xfId="550"/>
    <cellStyle name="Linked Cell 2" xfId="1396"/>
    <cellStyle name="MAU" xfId="551"/>
    <cellStyle name="Migliaia (0)_CALPREZZ" xfId="552"/>
    <cellStyle name="Migliaia_ PESO ELETTR." xfId="553"/>
    <cellStyle name="Millares [0]_10 AVERIAS MASIVAS + ANT" xfId="554"/>
    <cellStyle name="Millares_Well Timing" xfId="555"/>
    <cellStyle name="Milliers [0]_      " xfId="556"/>
    <cellStyle name="Milliers_      " xfId="557"/>
    <cellStyle name="Model" xfId="558"/>
    <cellStyle name="moi" xfId="559"/>
    <cellStyle name="Moneda [0]_Well Timing" xfId="560"/>
    <cellStyle name="Moneda_Well Timing" xfId="561"/>
    <cellStyle name="Monetaire" xfId="1287"/>
    <cellStyle name="Monétaire [0]_      " xfId="562"/>
    <cellStyle name="Monétaire_      " xfId="563"/>
    <cellStyle name="n" xfId="564"/>
    <cellStyle name="Neutral 2" xfId="1397"/>
    <cellStyle name="New" xfId="565"/>
    <cellStyle name="New Times Roman" xfId="566"/>
    <cellStyle name="no dec" xfId="574"/>
    <cellStyle name="ÑONVÒ" xfId="575"/>
    <cellStyle name="Normal" xfId="0" builtinId="0"/>
    <cellStyle name="Normal - ??1" xfId="576"/>
    <cellStyle name="Normal - Style1" xfId="577"/>
    <cellStyle name="Normal - 유형1" xfId="578"/>
    <cellStyle name="Normal 10" xfId="579"/>
    <cellStyle name="Normal 10 2" xfId="1288"/>
    <cellStyle name="Normal 10 4" xfId="1411"/>
    <cellStyle name="Normal 11" xfId="580"/>
    <cellStyle name="Normal 11 2" xfId="995"/>
    <cellStyle name="Normal 12" xfId="8"/>
    <cellStyle name="Normal 12 2" xfId="1398"/>
    <cellStyle name="Normal 13" xfId="963"/>
    <cellStyle name="Normal 14" xfId="971"/>
    <cellStyle name="Normal 15" xfId="975"/>
    <cellStyle name="Normal 15 2" xfId="1289"/>
    <cellStyle name="Normal 16" xfId="977"/>
    <cellStyle name="Normal 17" xfId="979"/>
    <cellStyle name="Normal 18" xfId="981"/>
    <cellStyle name="Normal 19" xfId="973"/>
    <cellStyle name="Normal 2" xfId="581"/>
    <cellStyle name="Normal 2 2" xfId="2"/>
    <cellStyle name="Normal 2 2 2" xfId="968"/>
    <cellStyle name="Normal 2 2 2 2" xfId="1290"/>
    <cellStyle name="Normal 2 2 3" xfId="967"/>
    <cellStyle name="Normal 2 2 4" xfId="1006"/>
    <cellStyle name="Normal 2 3" xfId="582"/>
    <cellStyle name="Normal 2 3 2" xfId="1291"/>
    <cellStyle name="Normal 2 3 2 2" xfId="1292"/>
    <cellStyle name="Normal 2 3 2 3" xfId="1293"/>
    <cellStyle name="Normal 2 3 2 4" xfId="1294"/>
    <cellStyle name="Normal 2 3 3" xfId="1399"/>
    <cellStyle name="Normal 2 4" xfId="1295"/>
    <cellStyle name="Normal 2 4 2" xfId="1296"/>
    <cellStyle name="Normal 2 4 3" xfId="1297"/>
    <cellStyle name="Normal 2 4 4" xfId="1298"/>
    <cellStyle name="Normal 2 5" xfId="1003"/>
    <cellStyle name="Normal 2 5 2" xfId="1299"/>
    <cellStyle name="Normal 2 5 3" xfId="1300"/>
    <cellStyle name="Normal 2 5 4" xfId="1301"/>
    <cellStyle name="Normal 2 6" xfId="1302"/>
    <cellStyle name="Normal 2_Bang bieu" xfId="583"/>
    <cellStyle name="Normal 20" xfId="983"/>
    <cellStyle name="Normal 21" xfId="984"/>
    <cellStyle name="Normal 22" xfId="989"/>
    <cellStyle name="Normal 22 4" xfId="1415"/>
    <cellStyle name="Normal 23" xfId="986"/>
    <cellStyle name="Normal 24" xfId="991"/>
    <cellStyle name="Normal 25" xfId="1303"/>
    <cellStyle name="Normal 26" xfId="1304"/>
    <cellStyle name="Normal 27" xfId="1305"/>
    <cellStyle name="Normal 28" xfId="1306"/>
    <cellStyle name="Normal 29" xfId="1307"/>
    <cellStyle name="Normal 3" xfId="584"/>
    <cellStyle name="Normal 3 2" xfId="7"/>
    <cellStyle name="Normal 3 2 2" xfId="969"/>
    <cellStyle name="Normal 3 2 3" xfId="1010"/>
    <cellStyle name="Normal 3 3" xfId="1308"/>
    <cellStyle name="Normal 3 4" xfId="1309"/>
    <cellStyle name="Normal 3_Bieu gop  cuoi cung ung 2011-TPCP-cuoi  ngay 25-6" xfId="585"/>
    <cellStyle name="Normal 30" xfId="586"/>
    <cellStyle name="Normal 30 2" xfId="998"/>
    <cellStyle name="Normal 30 2 2" xfId="1310"/>
    <cellStyle name="Normal 30 2_CTMTYT2021 chuan" xfId="999"/>
    <cellStyle name="Normal 30 3" xfId="1000"/>
    <cellStyle name="Normal 30 5" xfId="1001"/>
    <cellStyle name="Normal 30_CTMTYT2021 chuan" xfId="994"/>
    <cellStyle name="Normal 30_Dự toán 20212020PCBXH - Gửi" xfId="993"/>
    <cellStyle name="Normal 30_Tâm thần" xfId="992"/>
    <cellStyle name="Normal 31" xfId="1400"/>
    <cellStyle name="Normal 32" xfId="1401"/>
    <cellStyle name="Normal 4" xfId="587"/>
    <cellStyle name="Normal 4 2" xfId="588"/>
    <cellStyle name="Normal 4 3" xfId="1004"/>
    <cellStyle name="Normal 4_Bang bieu" xfId="589"/>
    <cellStyle name="Normal 48" xfId="1416"/>
    <cellStyle name="Normal 5" xfId="590"/>
    <cellStyle name="Normal 5 2" xfId="1311"/>
    <cellStyle name="Normal 6" xfId="591"/>
    <cellStyle name="Normal 6 2" xfId="1312"/>
    <cellStyle name="Normal 6 3" xfId="1313"/>
    <cellStyle name="Normal 6 4" xfId="1314"/>
    <cellStyle name="Normal 6 5" xfId="1315"/>
    <cellStyle name="Normal 6 6" xfId="1316"/>
    <cellStyle name="Normal 7" xfId="592"/>
    <cellStyle name="Normal 8" xfId="593"/>
    <cellStyle name="Normal 88" xfId="1417"/>
    <cellStyle name="Normal 9" xfId="594"/>
    <cellStyle name="Normal 9 2" xfId="595"/>
    <cellStyle name="Normal 9_BieuHD2016-2020Tquang2(OK)" xfId="1402"/>
    <cellStyle name="Normal 93" xfId="1412"/>
    <cellStyle name="Normal 95" xfId="1413"/>
    <cellStyle name="Normal_Bieu mau (CV )" xfId="1"/>
    <cellStyle name="Normal_KHKPCTMT2011_TACH_du_an_07072011(1)" xfId="1418"/>
    <cellStyle name="Normal1" xfId="596"/>
    <cellStyle name="Normal8" xfId="597"/>
    <cellStyle name="NORMAL-ADB" xfId="598"/>
    <cellStyle name="Normale_ PESO ELETTR." xfId="599"/>
    <cellStyle name="Normalny_Cennik obowiazuje od 06-08-2001 r (1)" xfId="600"/>
    <cellStyle name="Note 2" xfId="1403"/>
    <cellStyle name="NWM" xfId="601"/>
    <cellStyle name="nga" xfId="567"/>
    <cellStyle name="Nhấn1" xfId="568"/>
    <cellStyle name="Nhấn2" xfId="569"/>
    <cellStyle name="Nhấn3" xfId="570"/>
    <cellStyle name="Nhấn4" xfId="571"/>
    <cellStyle name="Nhấn5" xfId="572"/>
    <cellStyle name="Nhấn6" xfId="573"/>
    <cellStyle name="Ò_x000d_Normal_123569" xfId="603"/>
    <cellStyle name="Œ…‹æØ‚è [0.00]_††††† " xfId="604"/>
    <cellStyle name="Œ…‹æØ‚è_††††† " xfId="605"/>
    <cellStyle name="oft Excel]_x000d__x000a_Comment=open=/f ‚ðw’è‚·‚é‚ÆAƒ†[ƒU[’è‹`ŠÖ”‚ðŠÖ”“\‚è•t‚¯‚Ìˆê——‚É“o˜^‚·‚é‚±‚Æ‚ª‚Å‚«‚Ü‚·B_x000d__x000a_Maximized" xfId="606"/>
    <cellStyle name="oft Excel]_x000d__x000a_Comment=open=/f ‚ðŽw’è‚·‚é‚ÆAƒ†[ƒU[’è‹`ŠÖ”‚ðŠÖ”“\‚è•t‚¯‚Ìˆê——‚É“o˜^‚·‚é‚±‚Æ‚ª‚Å‚«‚Ü‚·B_x000d__x000a_Maximized" xfId="607"/>
    <cellStyle name="oft Excel]_x000d__x000a_Comment=The open=/f lines load custom functions into the Paste Function list._x000d__x000a_Maximized=2_x000d__x000a_Basics=1_x000d__x000a_A" xfId="608"/>
    <cellStyle name="oft Excel]_x000d__x000a_Comment=The open=/f lines load custom functions into the Paste Function list._x000d__x000a_Maximized=3_x000d__x000a_Basics=1_x000d__x000a_A" xfId="609"/>
    <cellStyle name="omma [0]_Mktg Prog" xfId="610"/>
    <cellStyle name="ormal_Sheet1_1" xfId="611"/>
    <cellStyle name="Output 2" xfId="1404"/>
    <cellStyle name="Ô Được nối kết" xfId="602"/>
    <cellStyle name="p" xfId="612"/>
    <cellStyle name="Pattern" xfId="613"/>
    <cellStyle name="per.style" xfId="614"/>
    <cellStyle name="Percent [0]" xfId="615"/>
    <cellStyle name="Percent [00]" xfId="616"/>
    <cellStyle name="Percent [2]" xfId="617"/>
    <cellStyle name="Percent [2] 2" xfId="1317"/>
    <cellStyle name="Percent [2] 3" xfId="1318"/>
    <cellStyle name="Percent [2] 4" xfId="1319"/>
    <cellStyle name="Percent 10" xfId="1320"/>
    <cellStyle name="Percent 2" xfId="618"/>
    <cellStyle name="Percent 3" xfId="1321"/>
    <cellStyle name="Percent 4" xfId="1405"/>
    <cellStyle name="PERCENTAGE" xfId="619"/>
    <cellStyle name="Pourcentage" xfId="1325"/>
    <cellStyle name="PrePop Currency (0)" xfId="621"/>
    <cellStyle name="PrePop Currency (2)" xfId="622"/>
    <cellStyle name="PrePop Units (0)" xfId="623"/>
    <cellStyle name="PrePop Units (1)" xfId="624"/>
    <cellStyle name="PrePop Units (2)" xfId="625"/>
    <cellStyle name="pricing" xfId="626"/>
    <cellStyle name="PSChar" xfId="627"/>
    <cellStyle name="PSHeading" xfId="628"/>
    <cellStyle name="Phần Trăm 2" xfId="1322"/>
    <cellStyle name="Phần Trăm 3" xfId="1323"/>
    <cellStyle name="Phần Trăm 4" xfId="1324"/>
    <cellStyle name="PHONG" xfId="620"/>
    <cellStyle name="Quantity" xfId="629"/>
    <cellStyle name="regstoresfromspecstores" xfId="630"/>
    <cellStyle name="RevList" xfId="631"/>
    <cellStyle name="rlink_tiªn l­în_x001b_Hyperlink_TONG HOP KINH PHI" xfId="632"/>
    <cellStyle name="rmal_ADAdot" xfId="633"/>
    <cellStyle name="S—_x0008_" xfId="634"/>
    <cellStyle name="s]_x000d__x000a_spooler=yes_x000d__x000a_load=_x000d__x000a_Beep=yes_x000d__x000a_NullPort=None_x000d__x000a_BorderWidth=3_x000d__x000a_CursorBlinkRate=1200_x000d__x000a_DoubleClickSpeed=452_x000d__x000a_Programs=co" xfId="635"/>
    <cellStyle name="SAPBEXaggData" xfId="636"/>
    <cellStyle name="SAPBEXaggDataEmph" xfId="637"/>
    <cellStyle name="SAPBEXaggItem" xfId="638"/>
    <cellStyle name="SAPBEXchaText" xfId="639"/>
    <cellStyle name="SAPBEXexcBad7" xfId="640"/>
    <cellStyle name="SAPBEXexcBad8" xfId="641"/>
    <cellStyle name="SAPBEXexcBad9" xfId="642"/>
    <cellStyle name="SAPBEXexcCritical4" xfId="643"/>
    <cellStyle name="SAPBEXexcCritical5" xfId="644"/>
    <cellStyle name="SAPBEXexcCritical6" xfId="645"/>
    <cellStyle name="SAPBEXexcGood1" xfId="646"/>
    <cellStyle name="SAPBEXexcGood2" xfId="647"/>
    <cellStyle name="SAPBEXexcGood3" xfId="648"/>
    <cellStyle name="SAPBEXfilterDrill" xfId="649"/>
    <cellStyle name="SAPBEXfilterItem" xfId="650"/>
    <cellStyle name="SAPBEXfilterText" xfId="651"/>
    <cellStyle name="SAPBEXformats" xfId="652"/>
    <cellStyle name="SAPBEXheaderItem" xfId="653"/>
    <cellStyle name="SAPBEXheaderText" xfId="654"/>
    <cellStyle name="SAPBEXresData" xfId="655"/>
    <cellStyle name="SAPBEXresDataEmph" xfId="656"/>
    <cellStyle name="SAPBEXresItem" xfId="657"/>
    <cellStyle name="SAPBEXstdData" xfId="658"/>
    <cellStyle name="SAPBEXstdDataEmph" xfId="659"/>
    <cellStyle name="SAPBEXstdItem" xfId="660"/>
    <cellStyle name="SAPBEXtitle" xfId="661"/>
    <cellStyle name="SAPBEXundefined" xfId="662"/>
    <cellStyle name="serJet 1200 Series PCL 6" xfId="663"/>
    <cellStyle name="SHADEDSTORES" xfId="664"/>
    <cellStyle name="so" xfId="665"/>
    <cellStyle name="SO%" xfId="666"/>
    <cellStyle name="songuyen" xfId="667"/>
    <cellStyle name="specstores" xfId="668"/>
    <cellStyle name="Standard" xfId="1326"/>
    <cellStyle name="STT" xfId="669"/>
    <cellStyle name="STTDG" xfId="670"/>
    <cellStyle name="style" xfId="1406"/>
    <cellStyle name="Style 1" xfId="671"/>
    <cellStyle name="Style 1 2" xfId="1407"/>
    <cellStyle name="Style 10" xfId="672"/>
    <cellStyle name="Style 11" xfId="673"/>
    <cellStyle name="Style 12" xfId="674"/>
    <cellStyle name="Style 13" xfId="675"/>
    <cellStyle name="Style 14" xfId="676"/>
    <cellStyle name="Style 15" xfId="677"/>
    <cellStyle name="Style 16" xfId="678"/>
    <cellStyle name="Style 17" xfId="679"/>
    <cellStyle name="Style 18" xfId="680"/>
    <cellStyle name="Style 19" xfId="681"/>
    <cellStyle name="Style 2" xfId="682"/>
    <cellStyle name="Style 20" xfId="683"/>
    <cellStyle name="Style 21" xfId="684"/>
    <cellStyle name="Style 22" xfId="685"/>
    <cellStyle name="Style 23" xfId="686"/>
    <cellStyle name="Style 24" xfId="687"/>
    <cellStyle name="Style 25" xfId="688"/>
    <cellStyle name="Style 26" xfId="689"/>
    <cellStyle name="Style 27" xfId="690"/>
    <cellStyle name="Style 28" xfId="691"/>
    <cellStyle name="Style 29" xfId="692"/>
    <cellStyle name="Style 3" xfId="693"/>
    <cellStyle name="Style 30" xfId="694"/>
    <cellStyle name="Style 31" xfId="695"/>
    <cellStyle name="Style 32" xfId="696"/>
    <cellStyle name="Style 33" xfId="697"/>
    <cellStyle name="Style 34" xfId="698"/>
    <cellStyle name="Style 35" xfId="699"/>
    <cellStyle name="Style 36" xfId="700"/>
    <cellStyle name="Style 37" xfId="701"/>
    <cellStyle name="Style 38" xfId="702"/>
    <cellStyle name="Style 39" xfId="1327"/>
    <cellStyle name="Style 4" xfId="703"/>
    <cellStyle name="Style 40" xfId="1328"/>
    <cellStyle name="Style 41" xfId="1329"/>
    <cellStyle name="Style 42" xfId="1330"/>
    <cellStyle name="Style 43" xfId="1331"/>
    <cellStyle name="Style 44" xfId="1332"/>
    <cellStyle name="Style 45" xfId="1333"/>
    <cellStyle name="Style 46" xfId="1334"/>
    <cellStyle name="Style 47" xfId="1335"/>
    <cellStyle name="Style 48" xfId="1336"/>
    <cellStyle name="Style 49" xfId="1337"/>
    <cellStyle name="Style 5" xfId="704"/>
    <cellStyle name="Style 50" xfId="1338"/>
    <cellStyle name="Style 51" xfId="1339"/>
    <cellStyle name="Style 52" xfId="1340"/>
    <cellStyle name="Style 53" xfId="1341"/>
    <cellStyle name="Style 54" xfId="1342"/>
    <cellStyle name="Style 55" xfId="1343"/>
    <cellStyle name="Style 56" xfId="1344"/>
    <cellStyle name="Style 57" xfId="1345"/>
    <cellStyle name="Style 58" xfId="1346"/>
    <cellStyle name="Style 59" xfId="1347"/>
    <cellStyle name="Style 6" xfId="705"/>
    <cellStyle name="Style 60" xfId="1348"/>
    <cellStyle name="Style 61" xfId="1349"/>
    <cellStyle name="Style 7" xfId="706"/>
    <cellStyle name="Style 8" xfId="707"/>
    <cellStyle name="Style 9" xfId="708"/>
    <cellStyle name="Style Date" xfId="709"/>
    <cellStyle name="style_1" xfId="710"/>
    <cellStyle name="subhead" xfId="711"/>
    <cellStyle name="Subtotal" xfId="712"/>
    <cellStyle name="symbol" xfId="713"/>
    <cellStyle name="T" xfId="714"/>
    <cellStyle name="T_50-BB Vung tau 2011" xfId="1350"/>
    <cellStyle name="T_50-BB Vung tau 2011_120907 Thu tang them 4500" xfId="1351"/>
    <cellStyle name="T_BANG LUONG MOI KSDH va KSDC (co phu cap khu vuc)" xfId="715"/>
    <cellStyle name="T_bao cao" xfId="716"/>
    <cellStyle name="T_Bao cao so lieu kiem toan nam 2007 sua" xfId="717"/>
    <cellStyle name="T_BBTNG-06" xfId="718"/>
    <cellStyle name="T_BC CTMT-2008 Ttinh" xfId="719"/>
    <cellStyle name="T_BC CTMT-2008 Ttinh_bieu tong hop" xfId="720"/>
    <cellStyle name="T_BC CTMT-2008 Ttinh_Tong hop ra soat von ung 2011 -Chau" xfId="721"/>
    <cellStyle name="T_BC CTMT-2008 Ttinh_Tong hop -Yte-Giao thong-Thuy loi-24-6" xfId="722"/>
    <cellStyle name="T_Bieu mau danh muc du an thuoc CTMTQG nam 2008" xfId="723"/>
    <cellStyle name="T_Bieu mau danh muc du an thuoc CTMTQG nam 2008_bieu tong hop" xfId="724"/>
    <cellStyle name="T_Bieu mau danh muc du an thuoc CTMTQG nam 2008_Tong hop ra soat von ung 2011 -Chau" xfId="725"/>
    <cellStyle name="T_Bieu mau danh muc du an thuoc CTMTQG nam 2008_Tong hop -Yte-Giao thong-Thuy loi-24-6" xfId="726"/>
    <cellStyle name="T_Bieu tong hop nhu cau ung 2011 da chon loc -Mien nui" xfId="727"/>
    <cellStyle name="T_Book1" xfId="728"/>
    <cellStyle name="T_Book1_1" xfId="729"/>
    <cellStyle name="T_Book1_1_Bieu mau ung 2011-Mien Trung-TPCP-11-6" xfId="730"/>
    <cellStyle name="T_Book1_1_bieu tong hop" xfId="731"/>
    <cellStyle name="T_Book1_1_Bieu tong hop nhu cau ung 2011 da chon loc -Mien nui" xfId="732"/>
    <cellStyle name="T_Book1_1_Book1" xfId="733"/>
    <cellStyle name="T_Book1_1_CPK" xfId="734"/>
    <cellStyle name="T_Book1_1_KL NT dap nen Dot 3" xfId="736"/>
    <cellStyle name="T_Book1_1_KL NT Dot 3" xfId="737"/>
    <cellStyle name="T_Book1_1_Khoi luong cac hang muc chi tiet-702" xfId="735"/>
    <cellStyle name="T_Book1_1_mau KL vach son" xfId="738"/>
    <cellStyle name="T_Book1_1_Nhu cau tam ung NSNN&amp;TPCP&amp;ODA theo tieu chi cua Bo (CV410_BKH-TH)_vung Tay Nguyen (11.6.2010)" xfId="739"/>
    <cellStyle name="T_Book1_1_Tong hop ra soat von ung 2011 -Chau" xfId="742"/>
    <cellStyle name="T_Book1_1_Tong hop -Yte-Giao thong-Thuy loi-24-6" xfId="743"/>
    <cellStyle name="T_Book1_1_Thiet bi" xfId="740"/>
    <cellStyle name="T_Book1_1_Thong ke cong" xfId="741"/>
    <cellStyle name="T_Book1_2" xfId="744"/>
    <cellStyle name="T_Book1_2_DTDuong dong tien -sua tham tra 2009 - luong 650" xfId="745"/>
    <cellStyle name="T_Book1_Bieu mau danh muc du an thuoc CTMTQG nam 2008" xfId="746"/>
    <cellStyle name="T_Book1_Bieu mau danh muc du an thuoc CTMTQG nam 2008_bieu tong hop" xfId="747"/>
    <cellStyle name="T_Book1_Bieu mau danh muc du an thuoc CTMTQG nam 2008_Tong hop ra soat von ung 2011 -Chau" xfId="748"/>
    <cellStyle name="T_Book1_Bieu mau danh muc du an thuoc CTMTQG nam 2008_Tong hop -Yte-Giao thong-Thuy loi-24-6" xfId="749"/>
    <cellStyle name="T_Book1_Bieu tong hop nhu cau ung 2011 da chon loc -Mien nui" xfId="750"/>
    <cellStyle name="T_Book1_Book1" xfId="751"/>
    <cellStyle name="T_Book1_CPK" xfId="752"/>
    <cellStyle name="T_Book1_DT492" xfId="753"/>
    <cellStyle name="T_Book1_DT972000" xfId="754"/>
    <cellStyle name="T_Book1_DTDuong dong tien -sua tham tra 2009 - luong 650" xfId="755"/>
    <cellStyle name="T_Book1_Du an khoi cong moi nam 2010" xfId="756"/>
    <cellStyle name="T_Book1_Du an khoi cong moi nam 2010_bieu tong hop" xfId="757"/>
    <cellStyle name="T_Book1_Du an khoi cong moi nam 2010_Tong hop ra soat von ung 2011 -Chau" xfId="758"/>
    <cellStyle name="T_Book1_Du an khoi cong moi nam 2010_Tong hop -Yte-Giao thong-Thuy loi-24-6" xfId="759"/>
    <cellStyle name="T_Book1_Du toan khao sat (bo sung 2009)" xfId="760"/>
    <cellStyle name="T_Book1_Hang Tom goi9 9-07(Cau 12 sua)" xfId="761"/>
    <cellStyle name="T_Book1_HECO-NR78-Gui a-Vinh(15-5-07)" xfId="762"/>
    <cellStyle name="T_Book1_Ket qua phan bo von nam 2008" xfId="763"/>
    <cellStyle name="T_Book1_KL NT dap nen Dot 3" xfId="767"/>
    <cellStyle name="T_Book1_KL NT Dot 3" xfId="768"/>
    <cellStyle name="T_Book1_KH XDCB_2008 lan 2 sua ngay 10-11" xfId="764"/>
    <cellStyle name="T_Book1_Khoi luong cac hang muc chi tiet-702" xfId="765"/>
    <cellStyle name="T_Book1_Khoi luong chinh Hang Tom" xfId="766"/>
    <cellStyle name="T_Book1_mau bieu doan giam sat 2010 (version 2)" xfId="769"/>
    <cellStyle name="T_Book1_mau KL vach son" xfId="770"/>
    <cellStyle name="T_Book1_Nhu cau von ung truoc 2011 Tha h Hoa + Nge An gui TW" xfId="771"/>
    <cellStyle name="T_Book1_San sat hach moi" xfId="772"/>
    <cellStyle name="T_Book1_Tong hop 3 tinh (11_5)-TTH-QN-QT" xfId="776"/>
    <cellStyle name="T_Book1_TH" xfId="773"/>
    <cellStyle name="T_Book1_Thiet bi" xfId="774"/>
    <cellStyle name="T_Book1_Thong ke cong" xfId="775"/>
    <cellStyle name="T_Book1_ung 2011 - 11-6-Thanh hoa-Nghe an" xfId="777"/>
    <cellStyle name="T_Book1_ung truoc 2011 NSTW Thanh Hoa + Nge An gui Thu 12-5" xfId="778"/>
    <cellStyle name="T_CDKT" xfId="779"/>
    <cellStyle name="T_Copy of Bao cao  XDCB 7 thang nam 2008_So KH&amp;DT SUA" xfId="784"/>
    <cellStyle name="T_Copy of Bao cao  XDCB 7 thang nam 2008_So KH&amp;DT SUA_bieu tong hop" xfId="785"/>
    <cellStyle name="T_Copy of Bao cao  XDCB 7 thang nam 2008_So KH&amp;DT SUA_Tong hop ra soat von ung 2011 -Chau" xfId="786"/>
    <cellStyle name="T_Copy of Bao cao  XDCB 7 thang nam 2008_So KH&amp;DT SUA_Tong hop -Yte-Giao thong-Thuy loi-24-6" xfId="787"/>
    <cellStyle name="T_Copy of KS Du an dau tu" xfId="788"/>
    <cellStyle name="T_Cost for DD (summary)" xfId="789"/>
    <cellStyle name="T_CPK" xfId="790"/>
    <cellStyle name="T_CTMTQG 2008" xfId="791"/>
    <cellStyle name="T_CTMTQG 2008_Bieu mau danh muc du an thuoc CTMTQG nam 2008" xfId="792"/>
    <cellStyle name="T_CTMTQG 2008_Hi-Tong hop KQ phan bo KH nam 08- LD fong giao 15-11-08" xfId="793"/>
    <cellStyle name="T_CTMTQG 2008_Ket qua thuc hien nam 2008" xfId="794"/>
    <cellStyle name="T_CTMTQG 2008_KH XDCB_2008 lan 1" xfId="795"/>
    <cellStyle name="T_CTMTQG 2008_KH XDCB_2008 lan 1 sua ngay 27-10" xfId="796"/>
    <cellStyle name="T_CTMTQG 2008_KH XDCB_2008 lan 2 sua ngay 10-11" xfId="797"/>
    <cellStyle name="T_Chuan bi dau tu nam 2008" xfId="780"/>
    <cellStyle name="T_Chuan bi dau tu nam 2008_bieu tong hop" xfId="781"/>
    <cellStyle name="T_Chuan bi dau tu nam 2008_Tong hop ra soat von ung 2011 -Chau" xfId="782"/>
    <cellStyle name="T_Chuan bi dau tu nam 2008_Tong hop -Yte-Giao thong-Thuy loi-24-6" xfId="783"/>
    <cellStyle name="T_DT972000" xfId="798"/>
    <cellStyle name="T_DTDuong dong tien -sua tham tra 2009 - luong 650" xfId="799"/>
    <cellStyle name="T_dtTL598G1." xfId="800"/>
    <cellStyle name="T_Du an khoi cong moi nam 2010" xfId="801"/>
    <cellStyle name="T_Du an khoi cong moi nam 2010_bieu tong hop" xfId="802"/>
    <cellStyle name="T_Du an khoi cong moi nam 2010_Tong hop ra soat von ung 2011 -Chau" xfId="803"/>
    <cellStyle name="T_Du an khoi cong moi nam 2010_Tong hop -Yte-Giao thong-Thuy loi-24-6" xfId="804"/>
    <cellStyle name="T_DU AN TKQH VA CHUAN BI DAU TU NAM 2007 sua ngay 9-11" xfId="805"/>
    <cellStyle name="T_DU AN TKQH VA CHUAN BI DAU TU NAM 2007 sua ngay 9-11_Bieu mau danh muc du an thuoc CTMTQG nam 2008" xfId="806"/>
    <cellStyle name="T_DU AN TKQH VA CHUAN BI DAU TU NAM 2007 sua ngay 9-11_Bieu mau danh muc du an thuoc CTMTQG nam 2008_bieu tong hop" xfId="807"/>
    <cellStyle name="T_DU AN TKQH VA CHUAN BI DAU TU NAM 2007 sua ngay 9-11_Bieu mau danh muc du an thuoc CTMTQG nam 2008_Tong hop ra soat von ung 2011 -Chau" xfId="808"/>
    <cellStyle name="T_DU AN TKQH VA CHUAN BI DAU TU NAM 2007 sua ngay 9-11_Bieu mau danh muc du an thuoc CTMTQG nam 2008_Tong hop -Yte-Giao thong-Thuy loi-24-6" xfId="809"/>
    <cellStyle name="T_DU AN TKQH VA CHUAN BI DAU TU NAM 2007 sua ngay 9-11_Du an khoi cong moi nam 2010" xfId="810"/>
    <cellStyle name="T_DU AN TKQH VA CHUAN BI DAU TU NAM 2007 sua ngay 9-11_Du an khoi cong moi nam 2010_bieu tong hop" xfId="811"/>
    <cellStyle name="T_DU AN TKQH VA CHUAN BI DAU TU NAM 2007 sua ngay 9-11_Du an khoi cong moi nam 2010_Tong hop ra soat von ung 2011 -Chau" xfId="812"/>
    <cellStyle name="T_DU AN TKQH VA CHUAN BI DAU TU NAM 2007 sua ngay 9-11_Du an khoi cong moi nam 2010_Tong hop -Yte-Giao thong-Thuy loi-24-6" xfId="813"/>
    <cellStyle name="T_DU AN TKQH VA CHUAN BI DAU TU NAM 2007 sua ngay 9-11_Ket qua phan bo von nam 2008" xfId="814"/>
    <cellStyle name="T_DU AN TKQH VA CHUAN BI DAU TU NAM 2007 sua ngay 9-11_KH XDCB_2008 lan 2 sua ngay 10-11" xfId="815"/>
    <cellStyle name="T_du toan dieu chinh  20-8-2006" xfId="816"/>
    <cellStyle name="T_Du toan khao sat (bo sung 2009)" xfId="817"/>
    <cellStyle name="T_Ke hoach KTXH  nam 2009_PKT thang 11 nam 2008" xfId="818"/>
    <cellStyle name="T_Ke hoach KTXH  nam 2009_PKT thang 11 nam 2008_bieu tong hop" xfId="819"/>
    <cellStyle name="T_Ke hoach KTXH  nam 2009_PKT thang 11 nam 2008_Tong hop ra soat von ung 2011 -Chau" xfId="820"/>
    <cellStyle name="T_Ke hoach KTXH  nam 2009_PKT thang 11 nam 2008_Tong hop -Yte-Giao thong-Thuy loi-24-6" xfId="821"/>
    <cellStyle name="T_Ket qua dau thau" xfId="822"/>
    <cellStyle name="T_Ket qua dau thau_bieu tong hop" xfId="823"/>
    <cellStyle name="T_Ket qua dau thau_Tong hop ra soat von ung 2011 -Chau" xfId="824"/>
    <cellStyle name="T_Ket qua dau thau_Tong hop -Yte-Giao thong-Thuy loi-24-6" xfId="825"/>
    <cellStyle name="T_Ket qua phan bo von nam 2008" xfId="826"/>
    <cellStyle name="T_KL NT dap nen Dot 3" xfId="830"/>
    <cellStyle name="T_KL NT Dot 3" xfId="831"/>
    <cellStyle name="T_Kl VL ranh" xfId="832"/>
    <cellStyle name="T_KLNMD1" xfId="833"/>
    <cellStyle name="T_KH XDCB_2008 lan 2 sua ngay 10-11" xfId="827"/>
    <cellStyle name="T_Khao satD1" xfId="828"/>
    <cellStyle name="T_Khoi luong cac hang muc chi tiet-702" xfId="829"/>
    <cellStyle name="T_mau bieu doan giam sat 2010 (version 2)" xfId="834"/>
    <cellStyle name="T_mau KL vach son" xfId="835"/>
    <cellStyle name="T_Me_Tri_6_07" xfId="836"/>
    <cellStyle name="T_N2 thay dat (N1-1)" xfId="837"/>
    <cellStyle name="T_Phuong an can doi nam 2008" xfId="838"/>
    <cellStyle name="T_Phuong an can doi nam 2008_bieu tong hop" xfId="839"/>
    <cellStyle name="T_Phuong an can doi nam 2008_Tong hop ra soat von ung 2011 -Chau" xfId="840"/>
    <cellStyle name="T_Phuong an can doi nam 2008_Tong hop -Yte-Giao thong-Thuy loi-24-6" xfId="841"/>
    <cellStyle name="T_San sat hach moi" xfId="842"/>
    <cellStyle name="T_Seagame(BTL)" xfId="843"/>
    <cellStyle name="T_So GTVT" xfId="844"/>
    <cellStyle name="T_So GTVT_bieu tong hop" xfId="845"/>
    <cellStyle name="T_So GTVT_Tong hop ra soat von ung 2011 -Chau" xfId="846"/>
    <cellStyle name="T_So GTVT_Tong hop -Yte-Giao thong-Thuy loi-24-6" xfId="847"/>
    <cellStyle name="T_SS BVTC cau va cong tuyen Le Chan" xfId="848"/>
    <cellStyle name="T_TDT + duong(8-5-07)" xfId="849"/>
    <cellStyle name="T_tien2004" xfId="857"/>
    <cellStyle name="T_TKE-ChoDon-sua" xfId="858"/>
    <cellStyle name="T_Tong hop 3 tinh (11_5)-TTH-QN-QT" xfId="859"/>
    <cellStyle name="T_Tong hop khoi luong Dot 3" xfId="860"/>
    <cellStyle name="T_TPCPGTTL2011" xfId="861"/>
    <cellStyle name="T_TH" xfId="850"/>
    <cellStyle name="T_tham_tra_du_toan" xfId="851"/>
    <cellStyle name="T_Thiet bi" xfId="852"/>
    <cellStyle name="T_THKL 1303" xfId="853"/>
    <cellStyle name="T_Thong ke" xfId="854"/>
    <cellStyle name="T_Thong ke cong" xfId="855"/>
    <cellStyle name="T_thong ke giao dan sinh" xfId="856"/>
    <cellStyle name="T_Worksheet in D: ... Hoan thien 5goi theo KL cu 28-06 4.Cong 5goi Coc 33-Km1+490.13 Cong coc 33-km1+490.13" xfId="862"/>
    <cellStyle name="T_ÿÿÿÿÿ" xfId="863"/>
    <cellStyle name="Text Indent A" xfId="864"/>
    <cellStyle name="Text Indent B" xfId="865"/>
    <cellStyle name="Text Indent C" xfId="866"/>
    <cellStyle name="Tien1" xfId="876"/>
    <cellStyle name="Tiền tệ 2" xfId="1352"/>
    <cellStyle name="Tiền tệ 3" xfId="1353"/>
    <cellStyle name="Tiêu đề" xfId="877"/>
    <cellStyle name="Times New Roman" xfId="878"/>
    <cellStyle name="Tính toán" xfId="879"/>
    <cellStyle name="tit1" xfId="880"/>
    <cellStyle name="tit2" xfId="881"/>
    <cellStyle name="tit3" xfId="882"/>
    <cellStyle name="tit4" xfId="883"/>
    <cellStyle name="Title 2" xfId="1408"/>
    <cellStyle name="Tongcong" xfId="885"/>
    <cellStyle name="Total 2" xfId="1409"/>
    <cellStyle name="Tổng" xfId="884"/>
    <cellStyle name="Tốt" xfId="886"/>
    <cellStyle name="tt1" xfId="889"/>
    <cellStyle name="Tusental (0)_pldt" xfId="890"/>
    <cellStyle name="Tusental_pldt" xfId="891"/>
    <cellStyle name="th" xfId="867"/>
    <cellStyle name="than" xfId="868"/>
    <cellStyle name="þ_x001d_ð¤_x000c_¯þ_x0014__x000d_¨þU_x0001_À_x0004_ _x0015__x000f__x0001__x0001_" xfId="869"/>
    <cellStyle name="þ_x001d_ð·_x000c_æþ'_x000d_ßþU_x0001_Ø_x0005_ü_x0014__x0007__x0001__x0001_" xfId="870"/>
    <cellStyle name="þ_x001d_ðÇ%Uý—&amp;Hý9_x0008_Ÿ s_x000a__x0007__x0001__x0001_" xfId="871"/>
    <cellStyle name="þ_x001d_ðK_x000c_Fý_x001b__x000d_9ýU_x0001_Ð_x0008_¦)_x0007__x0001__x0001_" xfId="872"/>
    <cellStyle name="thuong-10" xfId="873"/>
    <cellStyle name="thuong-11" xfId="874"/>
    <cellStyle name="Thuyet minh" xfId="875"/>
    <cellStyle name="trang" xfId="887"/>
    <cellStyle name="Trung tính" xfId="888"/>
    <cellStyle name="u" xfId="892"/>
    <cellStyle name="ux_3_¼­¿ï-¾È»ê" xfId="893"/>
    <cellStyle name="Valuta (0)_CALPREZZ" xfId="894"/>
    <cellStyle name="Valuta_ PESO ELETTR." xfId="895"/>
    <cellStyle name="VANG1" xfId="898"/>
    <cellStyle name="Văn bản Cảnh báo" xfId="896"/>
    <cellStyle name="Văn bản Giải thích" xfId="897"/>
    <cellStyle name="viet" xfId="899"/>
    <cellStyle name="viet2" xfId="900"/>
    <cellStyle name="VN new romanNormal" xfId="901"/>
    <cellStyle name="vn time 10" xfId="902"/>
    <cellStyle name="Vn Time 13" xfId="903"/>
    <cellStyle name="Vn Time 14" xfId="904"/>
    <cellStyle name="VN time new roman" xfId="905"/>
    <cellStyle name="vn_time" xfId="906"/>
    <cellStyle name="vnbo" xfId="907"/>
    <cellStyle name="vntxt1" xfId="912"/>
    <cellStyle name="vntxt2" xfId="913"/>
    <cellStyle name="vnhead1" xfId="908"/>
    <cellStyle name="vnhead2" xfId="909"/>
    <cellStyle name="vnhead3" xfId="910"/>
    <cellStyle name="vnhead4" xfId="911"/>
    <cellStyle name="W?hrung [0]_35ERI8T2gbIEMixb4v26icuOo" xfId="914"/>
    <cellStyle name="W?hrung_35ERI8T2gbIEMixb4v26icuOo" xfId="915"/>
    <cellStyle name="Währung [0]_ALLE_ITEMS_280800_EV_NL" xfId="916"/>
    <cellStyle name="Währung_AKE_100N" xfId="917"/>
    <cellStyle name="Walutowy [0]_Invoices2001Slovakia" xfId="918"/>
    <cellStyle name="Walutowy_Invoices2001Slovakia" xfId="919"/>
    <cellStyle name="Warning Text 2" xfId="1410"/>
    <cellStyle name="wrap" xfId="920"/>
    <cellStyle name="Wไhrung [0]_35ERI8T2gbIEMixb4v26icuOo" xfId="921"/>
    <cellStyle name="Wไhrung_35ERI8T2gbIEMixb4v26icuOo" xfId="922"/>
    <cellStyle name="Xấu" xfId="923"/>
    <cellStyle name="xuan" xfId="924"/>
    <cellStyle name="y" xfId="925"/>
    <cellStyle name="Ý kh¸c_B¶ng 1 (2)" xfId="926"/>
    <cellStyle name=" [0.00]_ Att. 1- Cover" xfId="927"/>
    <cellStyle name="_ Att. 1- Cover" xfId="928"/>
    <cellStyle name="?_ Att. 1- Cover" xfId="929"/>
    <cellStyle name="똿뗦먛귟 [0.00]_PRODUCT DETAIL Q1" xfId="930"/>
    <cellStyle name="똿뗦먛귟_PRODUCT DETAIL Q1" xfId="931"/>
    <cellStyle name="믅됞 [0.00]_PRODUCT DETAIL Q1" xfId="932"/>
    <cellStyle name="믅됞_PRODUCT DETAIL Q1" xfId="933"/>
    <cellStyle name="백분율_††††† " xfId="934"/>
    <cellStyle name="뷭?_BOOKSHIP" xfId="935"/>
    <cellStyle name="안건회계법인" xfId="936"/>
    <cellStyle name="콤마 [ - 유형1" xfId="937"/>
    <cellStyle name="콤마 [ - 유형2" xfId="938"/>
    <cellStyle name="콤마 [ - 유형3" xfId="939"/>
    <cellStyle name="콤마 [ - 유형4" xfId="940"/>
    <cellStyle name="콤마 [ - 유형5" xfId="941"/>
    <cellStyle name="콤마 [ - 유형6" xfId="942"/>
    <cellStyle name="콤마 [ - 유형7" xfId="943"/>
    <cellStyle name="콤마 [ - 유형8" xfId="944"/>
    <cellStyle name="콤마 [0]_ 비목별 월별기술 " xfId="945"/>
    <cellStyle name="콤마_ 비목별 월별기술 " xfId="946"/>
    <cellStyle name="통화 [0]_††††† " xfId="947"/>
    <cellStyle name="통화_††††† " xfId="948"/>
    <cellStyle name="표준_ 97년 경영분석(안)" xfId="949"/>
    <cellStyle name="표줠_Sheet1_1_총괄표 (수출입) (2)" xfId="950"/>
    <cellStyle name="一般_00Q3902REV.1" xfId="951"/>
    <cellStyle name="千分位[0]_00Q3902REV.1" xfId="952"/>
    <cellStyle name="千分位_00Q3902REV.1" xfId="953"/>
    <cellStyle name="桁区切り [0.00]_BE-BQ" xfId="954"/>
    <cellStyle name="桁区切り_BE-BQ" xfId="955"/>
    <cellStyle name="標準_(A1)BOQ " xfId="956"/>
    <cellStyle name="貨幣 [0]_00Q3902REV.1" xfId="957"/>
    <cellStyle name="貨幣[0]_BRE" xfId="958"/>
    <cellStyle name="貨幣_00Q3902REV.1" xfId="959"/>
    <cellStyle name="通貨 [0.00]_BE-BQ" xfId="960"/>
    <cellStyle name="通貨_BE-BQ" xfId="961"/>
  </cellStyles>
  <dxfs count="0"/>
  <tableStyles count="0" defaultTableStyle="TableStyleMedium2" defaultPivotStyle="PivotStyleLight16"/>
  <colors>
    <mruColors>
      <color rgb="FF000099"/>
      <color rgb="FF0000FF"/>
      <color rgb="FF6600CC"/>
      <color rgb="FFFF66CC"/>
      <color rgb="FF006600"/>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1228725</xdr:colOff>
      <xdr:row>0</xdr:row>
      <xdr:rowOff>0</xdr:rowOff>
    </xdr:from>
    <xdr:to>
      <xdr:col>1</xdr:col>
      <xdr:colOff>2009775</xdr:colOff>
      <xdr:row>0</xdr:row>
      <xdr:rowOff>0</xdr:rowOff>
    </xdr:to>
    <xdr:cxnSp macro="">
      <xdr:nvCxnSpPr>
        <xdr:cNvPr id="2" name="Straight Connector 1"/>
        <xdr:cNvCxnSpPr/>
      </xdr:nvCxnSpPr>
      <xdr:spPr>
        <a:xfrm flipV="1">
          <a:off x="838200" y="400050"/>
          <a:ext cx="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Desktop/R&#192;%20SO&#193;T%20KINH%20PH&#205;%20Y%20T&#7870;%20D&#7920;%20PH&#210;NG%202021/DU%20TOAN%20KP%202021%20CCDS%20B&#7842;N%20CH&#7888;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ntity"/>
      <sheetName val="Sum"/>
      <sheetName val="Sheet2"/>
      <sheetName val="6823 PS 1700"/>
      <sheetName val="PU_ITALY "/>
      <sheetName val="Module1"/>
      <sheetName val="Module2"/>
      <sheetName val="KP_LIST"/>
      <sheetName val="XL4Poppy"/>
      <sheetName val="kecot"/>
      <sheetName val="Gioi thieu"/>
      <sheetName val="VL"/>
      <sheetName val="Du Toan"/>
      <sheetName val="6823_PS_1700"/>
      <sheetName val="PU_ITALY_"/>
      <sheetName val="6823_PS_17001"/>
      <sheetName val="PU_ITALY_1"/>
      <sheetName val="LKVL-CK-HT-GD1"/>
      <sheetName val="TONGKE-HT"/>
      <sheetName val="he so"/>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갑지"/>
      <sheetName val="6823_PS_17002"/>
      <sheetName val="PU_ITALY_2"/>
      <sheetName val="XD4Poppy"/>
      <sheetName val="PT ksat"/>
      <sheetName val="LUONG KS"/>
      <sheetName val="May"/>
      <sheetName val="heso"/>
      <sheetName val="V-M(Bdinh)"/>
      <sheetName val="PTDG"/>
      <sheetName val="THDT"/>
      <sheetName val="VAT LIEU"/>
      <sheetName val="DTCT"/>
      <sheetName val="TT35"/>
      <sheetName val="Chi tiết Goc -AB"/>
      <sheetName val="SILICAT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refreshError="1"/>
      <sheetData sheetId="54" refreshError="1"/>
      <sheetData sheetId="55" refreshError="1"/>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DON GIA CAN THO"/>
      <sheetName val="Don gia chi tiet"/>
      <sheetName val="Sheet1"/>
      <sheetName val="조명시설"/>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XT_Buoc 3"/>
      <sheetName val="PU_ITALY_"/>
      <sheetName val="TH_DZ35"/>
      <sheetName val="Tro_giup"/>
      <sheetName val="DON_GIA_CAN_THO"/>
      <sheetName val="Don gia"/>
      <sheetName val="DC"/>
      <sheetName val="NL"/>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PU_ITALY_1"/>
      <sheetName val="TH_DZ351"/>
      <sheetName val="Tro_giup1"/>
      <sheetName val="DON_GIA_CAN_THO1"/>
      <sheetName val="gvl"/>
      <sheetName val="TONGKE-HT"/>
      <sheetName val="7606 DZ"/>
      <sheetName val="Control"/>
      <sheetName val="THVATTU"/>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 val="VL"/>
      <sheetName val="TH_CNO"/>
      <sheetName val="NK_CHUNG"/>
      <sheetName val="dnc4"/>
      <sheetName val="갑지"/>
      <sheetName val="Adix A"/>
      <sheetName val="침하계"/>
      <sheetName val="BETON"/>
      <sheetName val="24-ACMV"/>
      <sheetName val="dg67-1"/>
      <sheetName val="May"/>
      <sheetName val="TONG HOP T5 1998"/>
      <sheetName val="PTDG"/>
      <sheetName val="A1.CN"/>
      <sheetName val="CTG"/>
      <sheetName val="실행철강하도"/>
      <sheetName val="Titles"/>
      <sheetName val="Rates 2009"/>
      <sheetName val="K95"/>
      <sheetName val="K98"/>
      <sheetName val="Đầu vào"/>
      <sheetName val="KPTH-T12"/>
      <sheetName val="Thamgia-T10"/>
      <sheetName val="Don_gia"/>
      <sheetName val="DON_GIA_TRAM_(3)"/>
      <sheetName val="7606_DZ"/>
      <sheetName val="TONG_HOP_VL-NC_TT"/>
      <sheetName val="CHITIET_VL-NC-TT_-1p"/>
      <sheetName val="KPVC-BD_"/>
      <sheetName val="Ts"/>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CT"/>
      <sheetName val="02-XD"/>
      <sheetName val="03-XD"/>
      <sheetName val="04-ODA"/>
      <sheetName val="5TCKT PL6"/>
      <sheetName val="07-TCKTPL1"/>
      <sheetName val="07-TCKT PL2"/>
      <sheetName val="07-TCKT PL3"/>
      <sheetName val="07-TCKT PL4"/>
      <sheetName val="09-TCKT"/>
      <sheetName val="10-TCKT"/>
      <sheetName val="11-TCKT"/>
      <sheetName val="ctmt ( phòng KHTH thực hiện )"/>
      <sheetName val="Sheet1"/>
      <sheetName val="Sheet2"/>
      <sheetName val="Sheet3"/>
      <sheetName val="11-TCKT 1"/>
      <sheetName val="11-TCKT 2"/>
      <sheetName val="11-TCKT 3"/>
      <sheetName val="12-TCKT "/>
      <sheetName val="2021-2023"/>
      <sheetName val="PL 4 các huyện"/>
      <sheetName val="PL Phân bổ KP 2021-2025"/>
      <sheetName val="PL KP 2021-2025"/>
      <sheetName val="Sheet4"/>
      <sheetName val="BẢNG TỔNG CÁC DA"/>
      <sheetName val="Sheet5"/>
      <sheetName val="bản chố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68">
          <cell r="E68">
            <v>92540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2"/>
  <sheetViews>
    <sheetView workbookViewId="0">
      <selection activeCell="E10" sqref="E10"/>
    </sheetView>
  </sheetViews>
  <sheetFormatPr defaultRowHeight="15.75"/>
  <cols>
    <col min="1" max="1" width="5.5703125" style="687" customWidth="1"/>
    <col min="2" max="2" width="24" style="687" customWidth="1"/>
    <col min="3" max="3" width="20.140625" style="687" bestFit="1" customWidth="1"/>
    <col min="4" max="4" width="15.5703125" style="687" customWidth="1"/>
    <col min="5" max="5" width="18.7109375" style="687" customWidth="1"/>
    <col min="6" max="6" width="16.7109375" style="687" customWidth="1"/>
    <col min="7" max="7" width="18" style="687" customWidth="1"/>
    <col min="8" max="15" width="19" style="687" bestFit="1" customWidth="1"/>
    <col min="16" max="16384" width="9.140625" style="687"/>
  </cols>
  <sheetData>
    <row r="1" spans="1:16">
      <c r="A1" s="1884" t="s">
        <v>745</v>
      </c>
      <c r="B1" s="1884"/>
      <c r="C1" s="1884"/>
      <c r="D1" s="1884"/>
      <c r="E1" s="1884"/>
      <c r="F1" s="1884"/>
      <c r="G1" s="1884"/>
    </row>
    <row r="2" spans="1:16" s="692" customFormat="1" ht="31.5">
      <c r="A2" s="689" t="s">
        <v>309</v>
      </c>
      <c r="B2" s="756" t="s">
        <v>751</v>
      </c>
      <c r="C2" s="756" t="s">
        <v>812</v>
      </c>
      <c r="D2" s="756" t="s">
        <v>727</v>
      </c>
      <c r="E2" s="756" t="s">
        <v>728</v>
      </c>
      <c r="F2" s="756" t="s">
        <v>729</v>
      </c>
      <c r="G2" s="756" t="s">
        <v>730</v>
      </c>
      <c r="H2" s="756" t="s">
        <v>731</v>
      </c>
      <c r="I2" s="756" t="s">
        <v>732</v>
      </c>
      <c r="J2" s="756" t="s">
        <v>733</v>
      </c>
      <c r="K2" s="756" t="s">
        <v>734</v>
      </c>
      <c r="L2" s="756" t="s">
        <v>735</v>
      </c>
      <c r="M2" s="756" t="s">
        <v>736</v>
      </c>
      <c r="N2" s="756" t="s">
        <v>737</v>
      </c>
      <c r="O2" s="756" t="s">
        <v>738</v>
      </c>
    </row>
    <row r="3" spans="1:16" s="780" customFormat="1" ht="31.5">
      <c r="A3" s="688" t="s">
        <v>768</v>
      </c>
      <c r="B3" s="778" t="s">
        <v>813</v>
      </c>
      <c r="C3" s="779">
        <f>SUM(D3:O3)</f>
        <v>27784000000</v>
      </c>
      <c r="D3" s="779">
        <v>3738500000</v>
      </c>
      <c r="E3" s="779">
        <v>633500000</v>
      </c>
      <c r="F3" s="779">
        <v>3026500000</v>
      </c>
      <c r="G3" s="779">
        <v>3037500000</v>
      </c>
      <c r="H3" s="779">
        <v>3208500000</v>
      </c>
      <c r="I3" s="779">
        <v>1386000000</v>
      </c>
      <c r="J3" s="779">
        <v>2969000000</v>
      </c>
      <c r="K3" s="779">
        <v>2819700000</v>
      </c>
      <c r="L3" s="779">
        <v>3239000000</v>
      </c>
      <c r="M3" s="779">
        <v>1299500000</v>
      </c>
      <c r="N3" s="779">
        <v>1371500000</v>
      </c>
      <c r="O3" s="779">
        <v>1054800000</v>
      </c>
    </row>
    <row r="4" spans="1:16" s="780" customFormat="1" ht="78.75">
      <c r="A4" s="688" t="s">
        <v>804</v>
      </c>
      <c r="B4" s="778" t="s">
        <v>742</v>
      </c>
      <c r="C4" s="779">
        <f>SUM(D4:O4)</f>
        <v>572400000</v>
      </c>
      <c r="D4" s="779">
        <v>47700000</v>
      </c>
      <c r="E4" s="779">
        <v>47700000</v>
      </c>
      <c r="F4" s="779">
        <v>47700000</v>
      </c>
      <c r="G4" s="779">
        <v>47700000</v>
      </c>
      <c r="H4" s="779">
        <v>47700000</v>
      </c>
      <c r="I4" s="779">
        <v>47700000</v>
      </c>
      <c r="J4" s="779">
        <v>47700000</v>
      </c>
      <c r="K4" s="779">
        <v>47700000</v>
      </c>
      <c r="L4" s="779">
        <v>47700000</v>
      </c>
      <c r="M4" s="779">
        <v>47700000</v>
      </c>
      <c r="N4" s="779">
        <v>47700000</v>
      </c>
      <c r="O4" s="779">
        <v>47700000</v>
      </c>
    </row>
    <row r="5" spans="1:16" s="780" customFormat="1">
      <c r="A5" s="688" t="s">
        <v>815</v>
      </c>
      <c r="B5" s="778" t="s">
        <v>741</v>
      </c>
      <c r="C5" s="779">
        <f t="shared" ref="C5:O5" si="0">C3-C4</f>
        <v>27211600000</v>
      </c>
      <c r="D5" s="779">
        <f t="shared" si="0"/>
        <v>3690800000</v>
      </c>
      <c r="E5" s="779">
        <f t="shared" si="0"/>
        <v>585800000</v>
      </c>
      <c r="F5" s="779">
        <f t="shared" si="0"/>
        <v>2978800000</v>
      </c>
      <c r="G5" s="779">
        <f t="shared" si="0"/>
        <v>2989800000</v>
      </c>
      <c r="H5" s="779">
        <f t="shared" si="0"/>
        <v>3160800000</v>
      </c>
      <c r="I5" s="779">
        <f t="shared" si="0"/>
        <v>1338300000</v>
      </c>
      <c r="J5" s="779">
        <f t="shared" si="0"/>
        <v>2921300000</v>
      </c>
      <c r="K5" s="779">
        <f t="shared" si="0"/>
        <v>2772000000</v>
      </c>
      <c r="L5" s="779">
        <f t="shared" si="0"/>
        <v>3191300000</v>
      </c>
      <c r="M5" s="779">
        <f t="shared" si="0"/>
        <v>1251800000</v>
      </c>
      <c r="N5" s="779">
        <f t="shared" si="0"/>
        <v>1323800000</v>
      </c>
      <c r="O5" s="779">
        <f t="shared" si="0"/>
        <v>1007100000</v>
      </c>
    </row>
    <row r="6" spans="1:16" s="780" customFormat="1" ht="31.5">
      <c r="A6" s="688" t="s">
        <v>814</v>
      </c>
      <c r="B6" s="778" t="s">
        <v>811</v>
      </c>
      <c r="C6" s="779">
        <f>SUM(D6:O6)</f>
        <v>4483800000</v>
      </c>
      <c r="D6" s="779">
        <v>540000000</v>
      </c>
      <c r="E6" s="779">
        <v>91800000</v>
      </c>
      <c r="F6" s="779">
        <v>318600000</v>
      </c>
      <c r="G6" s="779">
        <v>597600000</v>
      </c>
      <c r="H6" s="779">
        <v>531000000</v>
      </c>
      <c r="I6" s="779">
        <v>171000000</v>
      </c>
      <c r="J6" s="779">
        <v>612000000</v>
      </c>
      <c r="K6" s="779">
        <v>509400000</v>
      </c>
      <c r="L6" s="779">
        <v>495000000</v>
      </c>
      <c r="M6" s="779">
        <v>189000000</v>
      </c>
      <c r="N6" s="779">
        <v>223200000</v>
      </c>
      <c r="O6" s="779">
        <v>205200000</v>
      </c>
    </row>
    <row r="7" spans="1:16" s="780" customFormat="1" ht="47.25">
      <c r="A7" s="688" t="s">
        <v>816</v>
      </c>
      <c r="B7" s="778" t="s">
        <v>747</v>
      </c>
      <c r="C7" s="779">
        <f>C5-C6</f>
        <v>22727800000</v>
      </c>
      <c r="D7" s="779">
        <f t="shared" ref="D7:O7" si="1">D5-D6</f>
        <v>3150800000</v>
      </c>
      <c r="E7" s="779">
        <f t="shared" si="1"/>
        <v>494000000</v>
      </c>
      <c r="F7" s="779">
        <f t="shared" si="1"/>
        <v>2660200000</v>
      </c>
      <c r="G7" s="779">
        <f t="shared" si="1"/>
        <v>2392200000</v>
      </c>
      <c r="H7" s="779">
        <f t="shared" si="1"/>
        <v>2629800000</v>
      </c>
      <c r="I7" s="779">
        <f t="shared" si="1"/>
        <v>1167300000</v>
      </c>
      <c r="J7" s="779">
        <f t="shared" si="1"/>
        <v>2309300000</v>
      </c>
      <c r="K7" s="779">
        <f t="shared" si="1"/>
        <v>2262600000</v>
      </c>
      <c r="L7" s="779">
        <f t="shared" si="1"/>
        <v>2696300000</v>
      </c>
      <c r="M7" s="779">
        <f t="shared" si="1"/>
        <v>1062800000</v>
      </c>
      <c r="N7" s="779">
        <f t="shared" si="1"/>
        <v>1100600000</v>
      </c>
      <c r="O7" s="779">
        <f t="shared" si="1"/>
        <v>801900000</v>
      </c>
    </row>
    <row r="8" spans="1:16" s="782" customFormat="1" ht="31.5">
      <c r="A8" s="781" t="s">
        <v>817</v>
      </c>
      <c r="B8" s="781" t="s">
        <v>818</v>
      </c>
      <c r="C8" s="778">
        <f>SUM(D8:O8)</f>
        <v>55836526975</v>
      </c>
      <c r="D8" s="778">
        <f>D9+D14+D19+D20+D26+D27+D28+D29+D30+D31+D32+D33+D34+D35+D36+D37+D38+D39+D43+D48</f>
        <v>6956365000</v>
      </c>
      <c r="E8" s="778">
        <f>E9+E14+E19+E20+E26+E27+E28+E29+E30+E31+E32+E33+E34+E35+E36+E37+E38+E39+E43+E48</f>
        <v>2865257000</v>
      </c>
      <c r="F8" s="778">
        <f t="shared" ref="F8:O8" si="2">F9+F14+F19+F20+F26+F27+F28+F29+F30+F31+F32+F33+F34+F35+F36+F37+F38+F39+F43+F48</f>
        <v>3287445000</v>
      </c>
      <c r="G8" s="778">
        <f t="shared" si="2"/>
        <v>5740800000</v>
      </c>
      <c r="H8" s="778">
        <f t="shared" si="2"/>
        <v>4930190000</v>
      </c>
      <c r="I8" s="778">
        <f t="shared" si="2"/>
        <v>2630446000</v>
      </c>
      <c r="J8" s="778">
        <f t="shared" si="2"/>
        <v>6323912975</v>
      </c>
      <c r="K8" s="778">
        <f t="shared" si="2"/>
        <v>5244467000</v>
      </c>
      <c r="L8" s="778">
        <f t="shared" si="2"/>
        <v>7110132000</v>
      </c>
      <c r="M8" s="778">
        <f t="shared" si="2"/>
        <v>3506052000</v>
      </c>
      <c r="N8" s="778">
        <f t="shared" si="2"/>
        <v>3839100000</v>
      </c>
      <c r="O8" s="778">
        <f t="shared" si="2"/>
        <v>3402360000</v>
      </c>
      <c r="P8" s="782" t="s">
        <v>819</v>
      </c>
    </row>
    <row r="9" spans="1:16" ht="51">
      <c r="A9" s="758">
        <v>1</v>
      </c>
      <c r="B9" s="769" t="s">
        <v>770</v>
      </c>
      <c r="C9" s="757">
        <f t="shared" ref="C9:C52" si="3">SUM(D9:O9)</f>
        <v>16097192000</v>
      </c>
      <c r="D9" s="757">
        <f>D10+D11+D12+D13</f>
        <v>1673104000</v>
      </c>
      <c r="E9" s="757">
        <f t="shared" ref="E9:O9" si="4">E10+E11+E12+E13</f>
        <v>955668000</v>
      </c>
      <c r="F9" s="757">
        <f t="shared" si="4"/>
        <v>1322000000</v>
      </c>
      <c r="G9" s="757">
        <f t="shared" si="4"/>
        <v>1663000000</v>
      </c>
      <c r="H9" s="757">
        <f t="shared" si="4"/>
        <v>1359000000</v>
      </c>
      <c r="I9" s="757">
        <f t="shared" si="4"/>
        <v>1005460000</v>
      </c>
      <c r="J9" s="757">
        <f t="shared" si="4"/>
        <v>1718100000</v>
      </c>
      <c r="K9" s="757">
        <f t="shared" si="4"/>
        <v>1518579000</v>
      </c>
      <c r="L9" s="757">
        <f t="shared" si="4"/>
        <v>1484000000</v>
      </c>
      <c r="M9" s="757">
        <f t="shared" si="4"/>
        <v>1197141000</v>
      </c>
      <c r="N9" s="757">
        <f t="shared" si="4"/>
        <v>1100140000</v>
      </c>
      <c r="O9" s="757">
        <f t="shared" si="4"/>
        <v>1101000000</v>
      </c>
    </row>
    <row r="10" spans="1:16" s="784" customFormat="1">
      <c r="A10" s="770" t="s">
        <v>806</v>
      </c>
      <c r="B10" s="771" t="s">
        <v>771</v>
      </c>
      <c r="C10" s="783">
        <f t="shared" si="3"/>
        <v>2156365000</v>
      </c>
      <c r="D10" s="783">
        <v>117104000.00000004</v>
      </c>
      <c r="E10" s="783">
        <v>50368000</v>
      </c>
      <c r="F10" s="783">
        <v>126000000</v>
      </c>
      <c r="G10" s="783">
        <v>269000000</v>
      </c>
      <c r="H10" s="783">
        <v>179000000</v>
      </c>
      <c r="I10" s="783">
        <v>122910000</v>
      </c>
      <c r="J10" s="783">
        <v>455000000</v>
      </c>
      <c r="K10" s="783">
        <v>368000000</v>
      </c>
      <c r="L10" s="783">
        <v>100000000</v>
      </c>
      <c r="M10" s="783">
        <v>210983000</v>
      </c>
      <c r="N10" s="783">
        <v>50000000</v>
      </c>
      <c r="O10" s="783">
        <v>108000000</v>
      </c>
    </row>
    <row r="11" spans="1:16" s="784" customFormat="1">
      <c r="A11" s="770" t="s">
        <v>807</v>
      </c>
      <c r="B11" s="772" t="s">
        <v>772</v>
      </c>
      <c r="C11" s="783">
        <f t="shared" si="3"/>
        <v>10773000000</v>
      </c>
      <c r="D11" s="783">
        <v>668000000</v>
      </c>
      <c r="E11" s="783">
        <v>852000000</v>
      </c>
      <c r="F11" s="783">
        <v>896000000</v>
      </c>
      <c r="G11" s="783">
        <v>1083000000</v>
      </c>
      <c r="H11" s="783">
        <v>1028000000</v>
      </c>
      <c r="I11" s="783">
        <v>870000000</v>
      </c>
      <c r="J11" s="783">
        <v>1106000000</v>
      </c>
      <c r="K11" s="783">
        <v>613000000</v>
      </c>
      <c r="L11" s="783">
        <v>987000000</v>
      </c>
      <c r="M11" s="783">
        <v>890000000</v>
      </c>
      <c r="N11" s="783">
        <v>890000000</v>
      </c>
      <c r="O11" s="783">
        <v>890000000</v>
      </c>
    </row>
    <row r="12" spans="1:16" s="784" customFormat="1" ht="51">
      <c r="A12" s="770" t="s">
        <v>808</v>
      </c>
      <c r="B12" s="772" t="s">
        <v>805</v>
      </c>
      <c r="C12" s="783">
        <f t="shared" si="3"/>
        <v>0</v>
      </c>
      <c r="D12" s="783">
        <v>0</v>
      </c>
      <c r="E12" s="783">
        <v>0</v>
      </c>
      <c r="F12" s="783">
        <v>0</v>
      </c>
      <c r="G12" s="783">
        <v>0</v>
      </c>
      <c r="H12" s="783">
        <v>0</v>
      </c>
      <c r="I12" s="783">
        <v>0</v>
      </c>
      <c r="J12" s="783">
        <v>0</v>
      </c>
      <c r="K12" s="783">
        <v>0</v>
      </c>
      <c r="L12" s="783">
        <v>0</v>
      </c>
      <c r="M12" s="783">
        <v>0</v>
      </c>
      <c r="N12" s="783">
        <v>0</v>
      </c>
      <c r="O12" s="783">
        <v>0</v>
      </c>
    </row>
    <row r="13" spans="1:16" s="784" customFormat="1">
      <c r="A13" s="773" t="s">
        <v>809</v>
      </c>
      <c r="B13" s="767" t="s">
        <v>773</v>
      </c>
      <c r="C13" s="783">
        <f t="shared" si="3"/>
        <v>3167827000</v>
      </c>
      <c r="D13" s="783">
        <v>888000000</v>
      </c>
      <c r="E13" s="783">
        <v>53300000</v>
      </c>
      <c r="F13" s="783">
        <v>300000000</v>
      </c>
      <c r="G13" s="783">
        <v>311000000</v>
      </c>
      <c r="H13" s="783">
        <v>152000000</v>
      </c>
      <c r="I13" s="783">
        <v>12550000</v>
      </c>
      <c r="J13" s="783">
        <v>157099999.99999997</v>
      </c>
      <c r="K13" s="783">
        <v>537579000.00000012</v>
      </c>
      <c r="L13" s="783">
        <v>397000000</v>
      </c>
      <c r="M13" s="783">
        <v>96157999.999999985</v>
      </c>
      <c r="N13" s="783">
        <v>160140000</v>
      </c>
      <c r="O13" s="783">
        <v>103000000</v>
      </c>
    </row>
    <row r="14" spans="1:16" ht="25.5">
      <c r="A14" s="761">
        <v>2</v>
      </c>
      <c r="B14" s="762" t="s">
        <v>774</v>
      </c>
      <c r="C14" s="757">
        <f t="shared" si="3"/>
        <v>7263896000</v>
      </c>
      <c r="D14" s="757">
        <f>D15+D16+D17+D18</f>
        <v>1072959000</v>
      </c>
      <c r="E14" s="757">
        <f t="shared" ref="E14:O14" si="5">E15+E16+E17+E18</f>
        <v>222150000</v>
      </c>
      <c r="F14" s="757">
        <f t="shared" si="5"/>
        <v>177496000</v>
      </c>
      <c r="G14" s="757">
        <f t="shared" si="5"/>
        <v>646000000</v>
      </c>
      <c r="H14" s="757">
        <f t="shared" si="5"/>
        <v>528000000</v>
      </c>
      <c r="I14" s="757">
        <f t="shared" si="5"/>
        <v>172000000</v>
      </c>
      <c r="J14" s="757">
        <f t="shared" si="5"/>
        <v>1105000000</v>
      </c>
      <c r="K14" s="757">
        <f t="shared" si="5"/>
        <v>708668000</v>
      </c>
      <c r="L14" s="757">
        <f t="shared" si="5"/>
        <v>865000000</v>
      </c>
      <c r="M14" s="757">
        <f t="shared" si="5"/>
        <v>417623000</v>
      </c>
      <c r="N14" s="757">
        <f t="shared" si="5"/>
        <v>884000000</v>
      </c>
      <c r="O14" s="757">
        <f t="shared" si="5"/>
        <v>465000000</v>
      </c>
    </row>
    <row r="15" spans="1:16" s="784" customFormat="1" ht="25.5">
      <c r="A15" s="770" t="s">
        <v>806</v>
      </c>
      <c r="B15" s="774" t="s">
        <v>18</v>
      </c>
      <c r="C15" s="783">
        <f t="shared" si="3"/>
        <v>2801340000</v>
      </c>
      <c r="D15" s="783">
        <v>905935000</v>
      </c>
      <c r="E15" s="783">
        <v>126750000</v>
      </c>
      <c r="F15" s="783">
        <v>36000000</v>
      </c>
      <c r="G15" s="783">
        <v>180000000</v>
      </c>
      <c r="H15" s="783">
        <v>296000000</v>
      </c>
      <c r="I15" s="783">
        <v>72000000</v>
      </c>
      <c r="J15" s="783">
        <v>217000000</v>
      </c>
      <c r="K15" s="783">
        <v>167000000</v>
      </c>
      <c r="L15" s="783">
        <v>278000000</v>
      </c>
      <c r="M15" s="783">
        <v>167655000</v>
      </c>
      <c r="N15" s="783">
        <v>243000000</v>
      </c>
      <c r="O15" s="783">
        <v>112000000</v>
      </c>
    </row>
    <row r="16" spans="1:16" s="784" customFormat="1" ht="25.5">
      <c r="A16" s="770" t="s">
        <v>807</v>
      </c>
      <c r="B16" s="774" t="s">
        <v>19</v>
      </c>
      <c r="C16" s="783">
        <f t="shared" si="3"/>
        <v>384138000</v>
      </c>
      <c r="D16" s="783">
        <v>81854000</v>
      </c>
      <c r="E16" s="783">
        <v>19640000</v>
      </c>
      <c r="F16" s="783">
        <v>37802000</v>
      </c>
      <c r="G16" s="783">
        <v>42000000</v>
      </c>
      <c r="H16" s="783">
        <v>2000000</v>
      </c>
      <c r="I16" s="783">
        <v>23000000</v>
      </c>
      <c r="J16" s="783">
        <v>62000000</v>
      </c>
      <c r="K16" s="783">
        <v>10342000</v>
      </c>
      <c r="L16" s="783">
        <v>60000000</v>
      </c>
      <c r="M16" s="783">
        <v>17500000</v>
      </c>
      <c r="N16" s="783">
        <v>14000000</v>
      </c>
      <c r="O16" s="783">
        <v>14000000</v>
      </c>
    </row>
    <row r="17" spans="1:15" s="784" customFormat="1" ht="25.5">
      <c r="A17" s="770" t="s">
        <v>808</v>
      </c>
      <c r="B17" s="774" t="s">
        <v>20</v>
      </c>
      <c r="C17" s="783">
        <f t="shared" si="3"/>
        <v>1274960000</v>
      </c>
      <c r="D17" s="783">
        <v>75200000</v>
      </c>
      <c r="E17" s="783">
        <v>37760000.000000007</v>
      </c>
      <c r="F17" s="783">
        <v>59000000</v>
      </c>
      <c r="G17" s="783">
        <v>244000000</v>
      </c>
      <c r="H17" s="783">
        <v>19000000</v>
      </c>
      <c r="I17" s="783">
        <v>59000000</v>
      </c>
      <c r="J17" s="783">
        <v>198000000</v>
      </c>
      <c r="K17" s="783">
        <v>68000000</v>
      </c>
      <c r="L17" s="783">
        <v>152000000</v>
      </c>
      <c r="M17" s="783">
        <v>111000000</v>
      </c>
      <c r="N17" s="783">
        <v>143000000</v>
      </c>
      <c r="O17" s="783">
        <v>109000000</v>
      </c>
    </row>
    <row r="18" spans="1:15" s="784" customFormat="1" ht="25.5">
      <c r="A18" s="773" t="s">
        <v>809</v>
      </c>
      <c r="B18" s="774" t="s">
        <v>21</v>
      </c>
      <c r="C18" s="783">
        <f t="shared" si="3"/>
        <v>2803458000</v>
      </c>
      <c r="D18" s="783">
        <v>9970000</v>
      </c>
      <c r="E18" s="783">
        <v>38000000</v>
      </c>
      <c r="F18" s="783">
        <v>44694000</v>
      </c>
      <c r="G18" s="783">
        <v>180000000</v>
      </c>
      <c r="H18" s="783">
        <v>211000000</v>
      </c>
      <c r="I18" s="783">
        <v>18000000</v>
      </c>
      <c r="J18" s="783">
        <v>628000000</v>
      </c>
      <c r="K18" s="783">
        <v>463326000</v>
      </c>
      <c r="L18" s="783">
        <v>375000000</v>
      </c>
      <c r="M18" s="783">
        <v>121467999.99999999</v>
      </c>
      <c r="N18" s="783">
        <v>484000000</v>
      </c>
      <c r="O18" s="783">
        <v>230000000</v>
      </c>
    </row>
    <row r="19" spans="1:15">
      <c r="A19" s="761">
        <v>3</v>
      </c>
      <c r="B19" s="762" t="s">
        <v>775</v>
      </c>
      <c r="C19" s="757">
        <f t="shared" si="3"/>
        <v>4253166000</v>
      </c>
      <c r="D19" s="757">
        <v>366000000</v>
      </c>
      <c r="E19" s="757">
        <v>455200000</v>
      </c>
      <c r="F19" s="757">
        <v>210416000</v>
      </c>
      <c r="G19" s="757">
        <v>210000000</v>
      </c>
      <c r="H19" s="757">
        <v>561000000</v>
      </c>
      <c r="I19" s="757">
        <v>75000000</v>
      </c>
      <c r="J19" s="757">
        <v>498000000</v>
      </c>
      <c r="K19" s="757">
        <v>875450000</v>
      </c>
      <c r="L19" s="757">
        <v>537000000</v>
      </c>
      <c r="M19" s="757">
        <v>188100000</v>
      </c>
      <c r="N19" s="757">
        <v>132000000</v>
      </c>
      <c r="O19" s="757">
        <v>145000000</v>
      </c>
    </row>
    <row r="20" spans="1:15" ht="25.5">
      <c r="A20" s="761">
        <v>4</v>
      </c>
      <c r="B20" s="762" t="s">
        <v>776</v>
      </c>
      <c r="C20" s="757">
        <f t="shared" si="3"/>
        <v>1528952000</v>
      </c>
      <c r="D20" s="757">
        <f>SUM(D21:D25)</f>
        <v>240870000</v>
      </c>
      <c r="E20" s="757">
        <f t="shared" ref="E20:O20" si="6">SUM(E21:E25)</f>
        <v>176020000</v>
      </c>
      <c r="F20" s="757">
        <f t="shared" si="6"/>
        <v>77850000</v>
      </c>
      <c r="G20" s="757">
        <f t="shared" si="6"/>
        <v>85000000</v>
      </c>
      <c r="H20" s="757">
        <f t="shared" si="6"/>
        <v>172000000</v>
      </c>
      <c r="I20" s="757">
        <f t="shared" si="6"/>
        <v>66000000</v>
      </c>
      <c r="J20" s="757">
        <f t="shared" si="6"/>
        <v>159000000</v>
      </c>
      <c r="K20" s="757">
        <f t="shared" si="6"/>
        <v>111342000</v>
      </c>
      <c r="L20" s="757">
        <f t="shared" si="6"/>
        <v>222000000</v>
      </c>
      <c r="M20" s="757">
        <f t="shared" si="6"/>
        <v>110870000</v>
      </c>
      <c r="N20" s="757">
        <f t="shared" si="6"/>
        <v>38000000</v>
      </c>
      <c r="O20" s="757">
        <f t="shared" si="6"/>
        <v>70000000</v>
      </c>
    </row>
    <row r="21" spans="1:15" s="784" customFormat="1" ht="25.5">
      <c r="A21" s="770" t="s">
        <v>806</v>
      </c>
      <c r="B21" s="774" t="s">
        <v>777</v>
      </c>
      <c r="C21" s="783">
        <f t="shared" si="3"/>
        <v>355160000</v>
      </c>
      <c r="D21" s="783">
        <v>28360000</v>
      </c>
      <c r="E21" s="783">
        <v>36519999.999999993</v>
      </c>
      <c r="F21" s="783">
        <v>22979999.999999996</v>
      </c>
      <c r="G21" s="783">
        <v>5000000</v>
      </c>
      <c r="H21" s="783">
        <v>92000000</v>
      </c>
      <c r="I21" s="783">
        <v>21000000</v>
      </c>
      <c r="J21" s="783">
        <v>19000000</v>
      </c>
      <c r="K21" s="783">
        <v>24000000</v>
      </c>
      <c r="L21" s="783">
        <v>30000000</v>
      </c>
      <c r="M21" s="783">
        <v>26299999.999999996</v>
      </c>
      <c r="N21" s="783">
        <v>18000000</v>
      </c>
      <c r="O21" s="783">
        <v>32000000</v>
      </c>
    </row>
    <row r="22" spans="1:15" s="784" customFormat="1">
      <c r="A22" s="770" t="s">
        <v>807</v>
      </c>
      <c r="B22" s="775" t="s">
        <v>778</v>
      </c>
      <c r="C22" s="783">
        <f t="shared" si="3"/>
        <v>631101000</v>
      </c>
      <c r="D22" s="783">
        <v>123090000</v>
      </c>
      <c r="E22" s="783">
        <v>53700000</v>
      </c>
      <c r="F22" s="783">
        <v>30811000</v>
      </c>
      <c r="G22" s="783">
        <v>42000000</v>
      </c>
      <c r="H22" s="783">
        <v>57000000</v>
      </c>
      <c r="I22" s="783">
        <v>9000000</v>
      </c>
      <c r="J22" s="783">
        <v>69000000</v>
      </c>
      <c r="K22" s="783">
        <v>38200000</v>
      </c>
      <c r="L22" s="783">
        <v>156000000</v>
      </c>
      <c r="M22" s="783">
        <v>31299999.999999996</v>
      </c>
      <c r="N22" s="783">
        <v>8000000</v>
      </c>
      <c r="O22" s="783">
        <v>13000000</v>
      </c>
    </row>
    <row r="23" spans="1:15" s="784" customFormat="1" ht="25.5">
      <c r="A23" s="770" t="s">
        <v>808</v>
      </c>
      <c r="B23" s="776" t="s">
        <v>779</v>
      </c>
      <c r="C23" s="783">
        <f t="shared" si="3"/>
        <v>160382000</v>
      </c>
      <c r="D23" s="783">
        <v>5630000</v>
      </c>
      <c r="E23" s="783">
        <v>21840000</v>
      </c>
      <c r="F23" s="783">
        <v>10000000</v>
      </c>
      <c r="G23" s="783">
        <v>15000000</v>
      </c>
      <c r="H23" s="783">
        <v>3000000</v>
      </c>
      <c r="I23" s="783">
        <v>16000000</v>
      </c>
      <c r="J23" s="783">
        <v>45000000</v>
      </c>
      <c r="K23" s="783">
        <v>10742000</v>
      </c>
      <c r="L23" s="783">
        <v>10000000</v>
      </c>
      <c r="M23" s="783">
        <v>19170000</v>
      </c>
      <c r="N23" s="783">
        <v>0</v>
      </c>
      <c r="O23" s="783">
        <v>4000000</v>
      </c>
    </row>
    <row r="24" spans="1:15" s="784" customFormat="1" ht="51">
      <c r="A24" s="773" t="s">
        <v>809</v>
      </c>
      <c r="B24" s="777" t="s">
        <v>24</v>
      </c>
      <c r="C24" s="783">
        <f t="shared" si="3"/>
        <v>155209000</v>
      </c>
      <c r="D24" s="783">
        <v>41950000</v>
      </c>
      <c r="E24" s="783">
        <v>20200000</v>
      </c>
      <c r="F24" s="783">
        <v>11059000</v>
      </c>
      <c r="G24" s="783">
        <v>9000000</v>
      </c>
      <c r="H24" s="783">
        <v>11000000</v>
      </c>
      <c r="I24" s="783">
        <v>8000000</v>
      </c>
      <c r="J24" s="783">
        <v>12000000</v>
      </c>
      <c r="K24" s="783">
        <v>15000000</v>
      </c>
      <c r="L24" s="783">
        <v>13000000</v>
      </c>
      <c r="M24" s="783">
        <v>0</v>
      </c>
      <c r="N24" s="783">
        <v>4000000</v>
      </c>
      <c r="O24" s="783">
        <v>10000000</v>
      </c>
    </row>
    <row r="25" spans="1:15" s="784" customFormat="1" ht="25.5">
      <c r="A25" s="773" t="s">
        <v>810</v>
      </c>
      <c r="B25" s="777" t="s">
        <v>23</v>
      </c>
      <c r="C25" s="783">
        <f t="shared" si="3"/>
        <v>227100000</v>
      </c>
      <c r="D25" s="783">
        <v>41840000</v>
      </c>
      <c r="E25" s="783">
        <v>43760000</v>
      </c>
      <c r="F25" s="783">
        <v>3000000</v>
      </c>
      <c r="G25" s="783">
        <v>14000000</v>
      </c>
      <c r="H25" s="783">
        <v>9000000</v>
      </c>
      <c r="I25" s="783">
        <v>12000000</v>
      </c>
      <c r="J25" s="783">
        <v>14000000</v>
      </c>
      <c r="K25" s="783">
        <v>23400000</v>
      </c>
      <c r="L25" s="783">
        <v>13000000</v>
      </c>
      <c r="M25" s="783">
        <v>34100000</v>
      </c>
      <c r="N25" s="783">
        <v>8000000</v>
      </c>
      <c r="O25" s="783">
        <v>11000000</v>
      </c>
    </row>
    <row r="26" spans="1:15">
      <c r="A26" s="761">
        <v>5</v>
      </c>
      <c r="B26" s="762" t="s">
        <v>780</v>
      </c>
      <c r="C26" s="757">
        <f t="shared" si="3"/>
        <v>1350335000</v>
      </c>
      <c r="D26" s="757">
        <v>97920000</v>
      </c>
      <c r="E26" s="757">
        <v>131699999.99999999</v>
      </c>
      <c r="F26" s="757">
        <v>28285000</v>
      </c>
      <c r="G26" s="757">
        <v>197000000</v>
      </c>
      <c r="H26" s="757">
        <v>49000000</v>
      </c>
      <c r="I26" s="757">
        <v>16000000</v>
      </c>
      <c r="J26" s="757">
        <v>190000000</v>
      </c>
      <c r="K26" s="757">
        <v>166430000</v>
      </c>
      <c r="L26" s="757">
        <v>375000000</v>
      </c>
      <c r="M26" s="757">
        <v>6000000</v>
      </c>
      <c r="N26" s="757">
        <v>19000000</v>
      </c>
      <c r="O26" s="757">
        <v>74000000</v>
      </c>
    </row>
    <row r="27" spans="1:15">
      <c r="A27" s="761">
        <v>6</v>
      </c>
      <c r="B27" s="762" t="s">
        <v>781</v>
      </c>
      <c r="C27" s="757">
        <f t="shared" si="3"/>
        <v>2600713975</v>
      </c>
      <c r="D27" s="757">
        <v>980180000</v>
      </c>
      <c r="E27" s="757">
        <v>114000000</v>
      </c>
      <c r="F27" s="757">
        <v>32000000</v>
      </c>
      <c r="G27" s="757">
        <v>124000000</v>
      </c>
      <c r="H27" s="757">
        <v>296000000</v>
      </c>
      <c r="I27" s="757">
        <v>39000000</v>
      </c>
      <c r="J27" s="757">
        <v>87433975</v>
      </c>
      <c r="K27" s="757">
        <v>164000000</v>
      </c>
      <c r="L27" s="757">
        <v>316000000</v>
      </c>
      <c r="M27" s="757">
        <v>202100000</v>
      </c>
      <c r="N27" s="757">
        <v>132000000</v>
      </c>
      <c r="O27" s="757">
        <v>114000000</v>
      </c>
    </row>
    <row r="28" spans="1:15" ht="25.5">
      <c r="A28" s="761">
        <v>7</v>
      </c>
      <c r="B28" s="762" t="s">
        <v>782</v>
      </c>
      <c r="C28" s="757">
        <f t="shared" si="3"/>
        <v>1432989000</v>
      </c>
      <c r="D28" s="757">
        <v>210650000</v>
      </c>
      <c r="E28" s="757">
        <v>40320000</v>
      </c>
      <c r="F28" s="757">
        <v>143565000</v>
      </c>
      <c r="G28" s="757">
        <v>56000000</v>
      </c>
      <c r="H28" s="757">
        <v>71000000</v>
      </c>
      <c r="I28" s="757">
        <v>49000000</v>
      </c>
      <c r="J28" s="757">
        <v>50000000</v>
      </c>
      <c r="K28" s="757">
        <v>78884000</v>
      </c>
      <c r="L28" s="757">
        <v>555000000</v>
      </c>
      <c r="M28" s="757">
        <v>41569999.999999993</v>
      </c>
      <c r="N28" s="757">
        <v>74000000</v>
      </c>
      <c r="O28" s="757">
        <v>63000000</v>
      </c>
    </row>
    <row r="29" spans="1:15">
      <c r="A29" s="763">
        <v>8</v>
      </c>
      <c r="B29" s="764" t="s">
        <v>783</v>
      </c>
      <c r="C29" s="757">
        <f t="shared" si="3"/>
        <v>508338000</v>
      </c>
      <c r="D29" s="757">
        <v>21850000</v>
      </c>
      <c r="E29" s="757">
        <v>64720000</v>
      </c>
      <c r="F29" s="757">
        <v>75980000</v>
      </c>
      <c r="G29" s="757">
        <v>7000000</v>
      </c>
      <c r="H29" s="757">
        <v>31000000</v>
      </c>
      <c r="I29" s="757">
        <v>10000000</v>
      </c>
      <c r="J29" s="757">
        <v>86000000</v>
      </c>
      <c r="K29" s="757">
        <v>44570000</v>
      </c>
      <c r="L29" s="757">
        <v>25000000</v>
      </c>
      <c r="M29" s="757">
        <v>78218000</v>
      </c>
      <c r="N29" s="757">
        <v>52000000</v>
      </c>
      <c r="O29" s="757">
        <v>12000000</v>
      </c>
    </row>
    <row r="30" spans="1:15">
      <c r="A30" s="759">
        <v>9</v>
      </c>
      <c r="B30" s="760" t="s">
        <v>784</v>
      </c>
      <c r="C30" s="757">
        <f t="shared" si="3"/>
        <v>582882000</v>
      </c>
      <c r="D30" s="757">
        <v>190451000.00000003</v>
      </c>
      <c r="E30" s="757">
        <v>15200000</v>
      </c>
      <c r="F30" s="757">
        <v>9694000</v>
      </c>
      <c r="G30" s="757">
        <v>148600000</v>
      </c>
      <c r="H30" s="757">
        <v>27310000.000000004</v>
      </c>
      <c r="I30" s="757">
        <v>34286000</v>
      </c>
      <c r="J30" s="757">
        <v>47599000</v>
      </c>
      <c r="K30" s="757">
        <v>13380000</v>
      </c>
      <c r="L30" s="757">
        <v>28612000.000000004</v>
      </c>
      <c r="M30" s="757">
        <v>36430000</v>
      </c>
      <c r="N30" s="757">
        <v>9960000</v>
      </c>
      <c r="O30" s="757">
        <v>21360000</v>
      </c>
    </row>
    <row r="31" spans="1:15">
      <c r="A31" s="763">
        <v>10</v>
      </c>
      <c r="B31" s="760" t="s">
        <v>785</v>
      </c>
      <c r="C31" s="757">
        <f t="shared" si="3"/>
        <v>365879000</v>
      </c>
      <c r="D31" s="757">
        <v>16160000</v>
      </c>
      <c r="E31" s="757">
        <v>7359000</v>
      </c>
      <c r="F31" s="757">
        <v>27080000</v>
      </c>
      <c r="G31" s="757">
        <v>42000000</v>
      </c>
      <c r="H31" s="757">
        <v>38000000</v>
      </c>
      <c r="I31" s="757">
        <v>15000000</v>
      </c>
      <c r="J31" s="757">
        <v>22000000</v>
      </c>
      <c r="K31" s="757">
        <v>31280000</v>
      </c>
      <c r="L31" s="757">
        <v>18000000</v>
      </c>
      <c r="M31" s="757">
        <v>73000000</v>
      </c>
      <c r="N31" s="757">
        <v>62000000</v>
      </c>
      <c r="O31" s="757">
        <v>14000000</v>
      </c>
    </row>
    <row r="32" spans="1:15">
      <c r="A32" s="759">
        <v>11</v>
      </c>
      <c r="B32" s="760" t="s">
        <v>786</v>
      </c>
      <c r="C32" s="757">
        <f t="shared" si="3"/>
        <v>2569166000</v>
      </c>
      <c r="D32" s="757">
        <v>96060000</v>
      </c>
      <c r="E32" s="757">
        <v>100000000</v>
      </c>
      <c r="F32" s="757">
        <v>212302000</v>
      </c>
      <c r="G32" s="757">
        <v>278000000</v>
      </c>
      <c r="H32" s="757">
        <v>123000000</v>
      </c>
      <c r="I32" s="757">
        <v>114000000</v>
      </c>
      <c r="J32" s="757">
        <v>575000000</v>
      </c>
      <c r="K32" s="757">
        <v>133924000</v>
      </c>
      <c r="L32" s="757">
        <v>530000000</v>
      </c>
      <c r="M32" s="757">
        <v>172880000</v>
      </c>
      <c r="N32" s="757">
        <v>155000000</v>
      </c>
      <c r="O32" s="757">
        <v>79000000</v>
      </c>
    </row>
    <row r="33" spans="1:15" ht="38.25">
      <c r="A33" s="763">
        <v>12</v>
      </c>
      <c r="B33" s="765" t="s">
        <v>787</v>
      </c>
      <c r="C33" s="757">
        <f t="shared" si="3"/>
        <v>227459000</v>
      </c>
      <c r="D33" s="757">
        <v>18030000</v>
      </c>
      <c r="E33" s="757">
        <v>18305000</v>
      </c>
      <c r="F33" s="757">
        <v>29214000</v>
      </c>
      <c r="G33" s="757">
        <v>29000000</v>
      </c>
      <c r="H33" s="757">
        <v>9000000</v>
      </c>
      <c r="I33" s="757">
        <v>16000000</v>
      </c>
      <c r="J33" s="757">
        <v>31000000</v>
      </c>
      <c r="K33" s="757">
        <v>23960000</v>
      </c>
      <c r="L33" s="757">
        <v>2000000</v>
      </c>
      <c r="M33" s="757">
        <v>34950000</v>
      </c>
      <c r="N33" s="757">
        <v>10000000</v>
      </c>
      <c r="O33" s="757">
        <v>6000000</v>
      </c>
    </row>
    <row r="34" spans="1:15">
      <c r="A34" s="759">
        <v>13</v>
      </c>
      <c r="B34" s="760" t="s">
        <v>33</v>
      </c>
      <c r="C34" s="757">
        <f t="shared" si="3"/>
        <v>471688000</v>
      </c>
      <c r="D34" s="757">
        <v>12040000</v>
      </c>
      <c r="E34" s="757">
        <v>73615000</v>
      </c>
      <c r="F34" s="757">
        <v>56863000</v>
      </c>
      <c r="G34" s="757">
        <v>44000000</v>
      </c>
      <c r="H34" s="757">
        <v>7000000</v>
      </c>
      <c r="I34" s="757">
        <v>10000000</v>
      </c>
      <c r="J34" s="757">
        <v>10000000</v>
      </c>
      <c r="K34" s="757">
        <v>32000000</v>
      </c>
      <c r="L34" s="757">
        <v>10000000</v>
      </c>
      <c r="M34" s="757">
        <v>117170000</v>
      </c>
      <c r="N34" s="757">
        <v>73000000</v>
      </c>
      <c r="O34" s="757">
        <v>26000000</v>
      </c>
    </row>
    <row r="35" spans="1:15">
      <c r="A35" s="763">
        <v>14</v>
      </c>
      <c r="B35" s="760" t="s">
        <v>788</v>
      </c>
      <c r="C35" s="757">
        <f t="shared" si="3"/>
        <v>711000000</v>
      </c>
      <c r="D35" s="757">
        <v>178000000</v>
      </c>
      <c r="E35" s="757">
        <v>155000000</v>
      </c>
      <c r="F35" s="757">
        <v>9000000</v>
      </c>
      <c r="G35" s="757">
        <v>38000000</v>
      </c>
      <c r="H35" s="757">
        <v>51000000</v>
      </c>
      <c r="I35" s="757">
        <v>20000000</v>
      </c>
      <c r="J35" s="757">
        <v>3000000</v>
      </c>
      <c r="K35" s="757">
        <v>89000000</v>
      </c>
      <c r="L35" s="757">
        <v>46000000</v>
      </c>
      <c r="M35" s="757">
        <v>34000000</v>
      </c>
      <c r="N35" s="757">
        <v>61000000</v>
      </c>
      <c r="O35" s="757">
        <v>27000000</v>
      </c>
    </row>
    <row r="36" spans="1:15">
      <c r="A36" s="759">
        <v>15</v>
      </c>
      <c r="B36" s="760" t="s">
        <v>789</v>
      </c>
      <c r="C36" s="757">
        <f t="shared" si="3"/>
        <v>0</v>
      </c>
      <c r="D36" s="757">
        <v>0</v>
      </c>
      <c r="E36" s="757">
        <v>0</v>
      </c>
      <c r="F36" s="757">
        <v>0</v>
      </c>
      <c r="G36" s="757">
        <v>0</v>
      </c>
      <c r="H36" s="757">
        <v>0</v>
      </c>
      <c r="I36" s="757">
        <v>0</v>
      </c>
      <c r="J36" s="757">
        <v>0</v>
      </c>
      <c r="K36" s="757">
        <v>0</v>
      </c>
      <c r="L36" s="757">
        <v>0</v>
      </c>
      <c r="M36" s="757">
        <v>0</v>
      </c>
      <c r="N36" s="757">
        <v>0</v>
      </c>
      <c r="O36" s="757">
        <v>0</v>
      </c>
    </row>
    <row r="37" spans="1:15">
      <c r="A37" s="763">
        <v>16</v>
      </c>
      <c r="B37" s="760" t="s">
        <v>790</v>
      </c>
      <c r="C37" s="757">
        <f t="shared" si="3"/>
        <v>0</v>
      </c>
      <c r="D37" s="757">
        <v>0</v>
      </c>
      <c r="E37" s="757">
        <v>0</v>
      </c>
      <c r="F37" s="757">
        <v>0</v>
      </c>
      <c r="G37" s="757">
        <v>0</v>
      </c>
      <c r="H37" s="757">
        <v>0</v>
      </c>
      <c r="I37" s="757">
        <v>0</v>
      </c>
      <c r="J37" s="757">
        <v>0</v>
      </c>
      <c r="K37" s="757">
        <v>0</v>
      </c>
      <c r="L37" s="757">
        <v>0</v>
      </c>
      <c r="M37" s="757">
        <v>0</v>
      </c>
      <c r="N37" s="757">
        <v>0</v>
      </c>
      <c r="O37" s="757">
        <v>0</v>
      </c>
    </row>
    <row r="38" spans="1:15">
      <c r="A38" s="759">
        <v>17</v>
      </c>
      <c r="B38" s="766" t="s">
        <v>791</v>
      </c>
      <c r="C38" s="757">
        <f t="shared" si="3"/>
        <v>0</v>
      </c>
      <c r="D38" s="757">
        <v>0</v>
      </c>
      <c r="E38" s="757">
        <v>0</v>
      </c>
      <c r="F38" s="757">
        <v>0</v>
      </c>
      <c r="G38" s="757">
        <v>0</v>
      </c>
      <c r="H38" s="757">
        <v>0</v>
      </c>
      <c r="I38" s="757">
        <v>0</v>
      </c>
      <c r="J38" s="757">
        <v>0</v>
      </c>
      <c r="K38" s="757">
        <v>0</v>
      </c>
      <c r="L38" s="757">
        <v>0</v>
      </c>
      <c r="M38" s="757">
        <v>0</v>
      </c>
      <c r="N38" s="757">
        <v>0</v>
      </c>
      <c r="O38" s="757">
        <v>0</v>
      </c>
    </row>
    <row r="39" spans="1:15">
      <c r="A39" s="763">
        <v>18</v>
      </c>
      <c r="B39" s="760" t="s">
        <v>559</v>
      </c>
      <c r="C39" s="757">
        <f t="shared" si="3"/>
        <v>8065000000</v>
      </c>
      <c r="D39" s="757">
        <f>SUM(D40:D42)</f>
        <v>856000000</v>
      </c>
      <c r="E39" s="757">
        <f t="shared" ref="E39:O39" si="7">SUM(E40:E42)</f>
        <v>231000000</v>
      </c>
      <c r="F39" s="757">
        <f t="shared" si="7"/>
        <v>637000000</v>
      </c>
      <c r="G39" s="757">
        <f t="shared" si="7"/>
        <v>1164000000</v>
      </c>
      <c r="H39" s="757">
        <f t="shared" si="7"/>
        <v>899000000</v>
      </c>
      <c r="I39" s="757">
        <f t="shared" si="7"/>
        <v>521000000</v>
      </c>
      <c r="J39" s="757">
        <f t="shared" si="7"/>
        <v>1088000000</v>
      </c>
      <c r="K39" s="757">
        <f t="shared" si="7"/>
        <v>726000000</v>
      </c>
      <c r="L39" s="757">
        <f t="shared" si="7"/>
        <v>725000000</v>
      </c>
      <c r="M39" s="757">
        <f t="shared" si="7"/>
        <v>348000000</v>
      </c>
      <c r="N39" s="757">
        <f t="shared" si="7"/>
        <v>485000000</v>
      </c>
      <c r="O39" s="757">
        <f t="shared" si="7"/>
        <v>385000000</v>
      </c>
    </row>
    <row r="40" spans="1:15" s="784" customFormat="1">
      <c r="A40" s="773" t="s">
        <v>806</v>
      </c>
      <c r="B40" s="767" t="s">
        <v>792</v>
      </c>
      <c r="C40" s="783">
        <f t="shared" si="3"/>
        <v>3448000000</v>
      </c>
      <c r="D40" s="783">
        <v>316000000</v>
      </c>
      <c r="E40" s="783">
        <v>153000000</v>
      </c>
      <c r="F40" s="783">
        <v>286000000</v>
      </c>
      <c r="G40" s="783">
        <v>546000000</v>
      </c>
      <c r="H40" s="783">
        <v>338000000</v>
      </c>
      <c r="I40" s="783">
        <v>294000000</v>
      </c>
      <c r="J40" s="783">
        <v>447000000</v>
      </c>
      <c r="K40" s="783">
        <v>217000000</v>
      </c>
      <c r="L40" s="783">
        <v>230000000</v>
      </c>
      <c r="M40" s="783">
        <v>179000000</v>
      </c>
      <c r="N40" s="783">
        <v>262000000</v>
      </c>
      <c r="O40" s="783">
        <v>180000000</v>
      </c>
    </row>
    <row r="41" spans="1:15" s="784" customFormat="1" ht="25.5">
      <c r="A41" s="773" t="s">
        <v>807</v>
      </c>
      <c r="B41" s="768" t="s">
        <v>793</v>
      </c>
      <c r="C41" s="783">
        <f t="shared" si="3"/>
        <v>4477000000</v>
      </c>
      <c r="D41" s="783">
        <v>540000000</v>
      </c>
      <c r="E41" s="783">
        <v>68000000</v>
      </c>
      <c r="F41" s="783">
        <v>321000000</v>
      </c>
      <c r="G41" s="783">
        <v>598000000</v>
      </c>
      <c r="H41" s="783">
        <v>531000000</v>
      </c>
      <c r="I41" s="783">
        <v>197000000</v>
      </c>
      <c r="J41" s="783">
        <v>621000000</v>
      </c>
      <c r="K41" s="783">
        <v>509000000</v>
      </c>
      <c r="L41" s="783">
        <v>495000000</v>
      </c>
      <c r="M41" s="783">
        <v>169000000</v>
      </c>
      <c r="N41" s="783">
        <v>223000000</v>
      </c>
      <c r="O41" s="783">
        <v>205000000</v>
      </c>
    </row>
    <row r="42" spans="1:15" s="784" customFormat="1" ht="63.75">
      <c r="A42" s="773" t="s">
        <v>808</v>
      </c>
      <c r="B42" s="768" t="s">
        <v>156</v>
      </c>
      <c r="C42" s="783">
        <f t="shared" si="3"/>
        <v>140000000</v>
      </c>
      <c r="D42" s="783">
        <v>0</v>
      </c>
      <c r="E42" s="783">
        <v>10000000</v>
      </c>
      <c r="F42" s="783">
        <v>30000000</v>
      </c>
      <c r="G42" s="783">
        <v>20000000</v>
      </c>
      <c r="H42" s="783">
        <v>30000000</v>
      </c>
      <c r="I42" s="783">
        <v>30000000</v>
      </c>
      <c r="J42" s="783">
        <v>20000000</v>
      </c>
      <c r="K42" s="783">
        <v>0</v>
      </c>
      <c r="L42" s="783">
        <v>0</v>
      </c>
      <c r="M42" s="783">
        <v>0</v>
      </c>
      <c r="N42" s="783">
        <v>0</v>
      </c>
      <c r="O42" s="783">
        <v>0</v>
      </c>
    </row>
    <row r="43" spans="1:15">
      <c r="A43" s="759">
        <v>19</v>
      </c>
      <c r="B43" s="760" t="s">
        <v>794</v>
      </c>
      <c r="C43" s="757">
        <f t="shared" si="3"/>
        <v>4572171000</v>
      </c>
      <c r="D43" s="757">
        <f>SUM(D44:D47)</f>
        <v>850091000</v>
      </c>
      <c r="E43" s="757">
        <f t="shared" ref="E43:O43" si="8">SUM(E44:E47)</f>
        <v>55000000</v>
      </c>
      <c r="F43" s="757">
        <f t="shared" si="8"/>
        <v>218000000</v>
      </c>
      <c r="G43" s="757">
        <f t="shared" si="8"/>
        <v>561200000</v>
      </c>
      <c r="H43" s="757">
        <f t="shared" si="8"/>
        <v>403880000</v>
      </c>
      <c r="I43" s="757">
        <f t="shared" si="8"/>
        <v>201700000</v>
      </c>
      <c r="J43" s="757">
        <f t="shared" si="8"/>
        <v>385780000</v>
      </c>
      <c r="K43" s="757">
        <f t="shared" si="8"/>
        <v>290000000</v>
      </c>
      <c r="L43" s="757">
        <f t="shared" si="8"/>
        <v>488520000</v>
      </c>
      <c r="M43" s="757">
        <f t="shared" si="8"/>
        <v>235000000</v>
      </c>
      <c r="N43" s="757">
        <f t="shared" si="8"/>
        <v>470000000</v>
      </c>
      <c r="O43" s="757">
        <f t="shared" si="8"/>
        <v>413000000</v>
      </c>
    </row>
    <row r="44" spans="1:15" s="784" customFormat="1" ht="25.5">
      <c r="A44" s="773" t="s">
        <v>806</v>
      </c>
      <c r="B44" s="768" t="s">
        <v>795</v>
      </c>
      <c r="C44" s="783">
        <f t="shared" si="3"/>
        <v>3681051000</v>
      </c>
      <c r="D44" s="783">
        <v>532050999.99999994</v>
      </c>
      <c r="E44" s="783">
        <v>0</v>
      </c>
      <c r="F44" s="783">
        <v>167000000</v>
      </c>
      <c r="G44" s="783">
        <v>538000000</v>
      </c>
      <c r="H44" s="783">
        <v>324000000</v>
      </c>
      <c r="I44" s="783">
        <v>137000000</v>
      </c>
      <c r="J44" s="783">
        <v>333000000</v>
      </c>
      <c r="K44" s="783">
        <v>264000000</v>
      </c>
      <c r="L44" s="783">
        <v>445000000</v>
      </c>
      <c r="M44" s="783">
        <v>208000000</v>
      </c>
      <c r="N44" s="783">
        <v>396000000</v>
      </c>
      <c r="O44" s="783">
        <v>337000000</v>
      </c>
    </row>
    <row r="45" spans="1:15" s="784" customFormat="1" ht="25.5">
      <c r="A45" s="773" t="s">
        <v>807</v>
      </c>
      <c r="B45" s="768" t="s">
        <v>796</v>
      </c>
      <c r="C45" s="783">
        <f t="shared" si="3"/>
        <v>645000000</v>
      </c>
      <c r="D45" s="783">
        <v>262000000</v>
      </c>
      <c r="E45" s="783">
        <v>43000000</v>
      </c>
      <c r="F45" s="783">
        <v>41000000</v>
      </c>
      <c r="G45" s="783">
        <v>5000000</v>
      </c>
      <c r="H45" s="783">
        <v>31000000</v>
      </c>
      <c r="I45" s="783">
        <v>40000000</v>
      </c>
      <c r="J45" s="783">
        <v>33000000</v>
      </c>
      <c r="K45" s="783">
        <v>16000000</v>
      </c>
      <c r="L45" s="783">
        <v>30000000</v>
      </c>
      <c r="M45" s="783">
        <v>17000000</v>
      </c>
      <c r="N45" s="783">
        <v>61000000</v>
      </c>
      <c r="O45" s="783">
        <v>66000000</v>
      </c>
    </row>
    <row r="46" spans="1:15" s="784" customFormat="1" ht="25.5">
      <c r="A46" s="773" t="s">
        <v>808</v>
      </c>
      <c r="B46" s="768" t="s">
        <v>797</v>
      </c>
      <c r="C46" s="783">
        <f t="shared" si="3"/>
        <v>185000000</v>
      </c>
      <c r="D46" s="783">
        <v>35000000</v>
      </c>
      <c r="E46" s="783">
        <v>8000000</v>
      </c>
      <c r="F46" s="783">
        <v>10000000</v>
      </c>
      <c r="G46" s="783">
        <v>11000000</v>
      </c>
      <c r="H46" s="783">
        <v>46000000</v>
      </c>
      <c r="I46" s="783">
        <v>9000000</v>
      </c>
      <c r="J46" s="783">
        <v>12000000</v>
      </c>
      <c r="K46" s="783">
        <v>10000000</v>
      </c>
      <c r="L46" s="783">
        <v>11000000</v>
      </c>
      <c r="M46" s="783">
        <v>10000000</v>
      </c>
      <c r="N46" s="783">
        <v>13000000</v>
      </c>
      <c r="O46" s="783">
        <v>10000000</v>
      </c>
    </row>
    <row r="47" spans="1:15" s="784" customFormat="1" ht="63.75">
      <c r="A47" s="773" t="s">
        <v>809</v>
      </c>
      <c r="B47" s="768" t="s">
        <v>798</v>
      </c>
      <c r="C47" s="783">
        <f t="shared" si="3"/>
        <v>61120000</v>
      </c>
      <c r="D47" s="783">
        <v>21040000</v>
      </c>
      <c r="E47" s="783">
        <v>4000000</v>
      </c>
      <c r="F47" s="783">
        <v>0</v>
      </c>
      <c r="G47" s="783">
        <v>7200000</v>
      </c>
      <c r="H47" s="783">
        <v>2880000</v>
      </c>
      <c r="I47" s="783">
        <v>15700000</v>
      </c>
      <c r="J47" s="783">
        <v>7780000</v>
      </c>
      <c r="K47" s="783">
        <v>0</v>
      </c>
      <c r="L47" s="783">
        <v>2520000</v>
      </c>
      <c r="M47" s="783">
        <v>0</v>
      </c>
      <c r="N47" s="783">
        <v>0</v>
      </c>
      <c r="O47" s="783">
        <v>0</v>
      </c>
    </row>
    <row r="48" spans="1:15">
      <c r="A48" s="759">
        <v>20</v>
      </c>
      <c r="B48" s="760" t="s">
        <v>799</v>
      </c>
      <c r="C48" s="757">
        <f t="shared" si="3"/>
        <v>3235700000</v>
      </c>
      <c r="D48" s="757">
        <f>SUM(D49:D52)</f>
        <v>76000000</v>
      </c>
      <c r="E48" s="757">
        <f t="shared" ref="E48:O48" si="9">SUM(E49:E52)</f>
        <v>50000000</v>
      </c>
      <c r="F48" s="757">
        <f t="shared" si="9"/>
        <v>20700000</v>
      </c>
      <c r="G48" s="757">
        <f t="shared" si="9"/>
        <v>448000000</v>
      </c>
      <c r="H48" s="757">
        <f t="shared" si="9"/>
        <v>305000000</v>
      </c>
      <c r="I48" s="757">
        <f t="shared" si="9"/>
        <v>266000000</v>
      </c>
      <c r="J48" s="757">
        <f t="shared" si="9"/>
        <v>268000000</v>
      </c>
      <c r="K48" s="757">
        <f t="shared" si="9"/>
        <v>237000000</v>
      </c>
      <c r="L48" s="757">
        <f t="shared" si="9"/>
        <v>883000000</v>
      </c>
      <c r="M48" s="757">
        <f t="shared" si="9"/>
        <v>213000000</v>
      </c>
      <c r="N48" s="757">
        <f t="shared" si="9"/>
        <v>82000000</v>
      </c>
      <c r="O48" s="757">
        <f t="shared" si="9"/>
        <v>387000000</v>
      </c>
    </row>
    <row r="49" spans="1:15" s="784" customFormat="1" ht="25.5">
      <c r="A49" s="773" t="s">
        <v>806</v>
      </c>
      <c r="B49" s="768" t="s">
        <v>800</v>
      </c>
      <c r="C49" s="783">
        <f t="shared" si="3"/>
        <v>2947000000</v>
      </c>
      <c r="D49" s="783">
        <v>60000000</v>
      </c>
      <c r="E49" s="783">
        <v>0</v>
      </c>
      <c r="F49" s="783">
        <v>14000000</v>
      </c>
      <c r="G49" s="783">
        <v>411000000</v>
      </c>
      <c r="H49" s="783">
        <v>241000000</v>
      </c>
      <c r="I49" s="783">
        <v>243000000</v>
      </c>
      <c r="J49" s="783">
        <v>250000000</v>
      </c>
      <c r="K49" s="783">
        <v>223000000</v>
      </c>
      <c r="L49" s="783">
        <v>870000000</v>
      </c>
      <c r="M49" s="783">
        <v>203000000</v>
      </c>
      <c r="N49" s="783">
        <v>75000000</v>
      </c>
      <c r="O49" s="783">
        <v>357000000</v>
      </c>
    </row>
    <row r="50" spans="1:15" s="784" customFormat="1" ht="25.5">
      <c r="A50" s="773" t="s">
        <v>807</v>
      </c>
      <c r="B50" s="768" t="s">
        <v>801</v>
      </c>
      <c r="C50" s="783">
        <f t="shared" si="3"/>
        <v>137000000</v>
      </c>
      <c r="D50" s="783">
        <v>6000000</v>
      </c>
      <c r="E50" s="783">
        <v>45000000</v>
      </c>
      <c r="F50" s="783">
        <v>0</v>
      </c>
      <c r="G50" s="783">
        <v>22000000</v>
      </c>
      <c r="H50" s="783">
        <v>48000000</v>
      </c>
      <c r="I50" s="783">
        <v>0</v>
      </c>
      <c r="J50" s="783">
        <v>0</v>
      </c>
      <c r="K50" s="783">
        <v>0</v>
      </c>
      <c r="L50" s="783">
        <v>0</v>
      </c>
      <c r="M50" s="783">
        <v>0</v>
      </c>
      <c r="N50" s="783">
        <v>0</v>
      </c>
      <c r="O50" s="783">
        <v>16000000</v>
      </c>
    </row>
    <row r="51" spans="1:15" s="784" customFormat="1" ht="38.25">
      <c r="A51" s="773" t="s">
        <v>808</v>
      </c>
      <c r="B51" s="768" t="s">
        <v>802</v>
      </c>
      <c r="C51" s="783">
        <f t="shared" si="3"/>
        <v>112000000</v>
      </c>
      <c r="D51" s="783">
        <v>10000000</v>
      </c>
      <c r="E51" s="783">
        <v>1000000</v>
      </c>
      <c r="F51" s="783">
        <v>5000000</v>
      </c>
      <c r="G51" s="783">
        <v>13000000</v>
      </c>
      <c r="H51" s="783">
        <v>12000000</v>
      </c>
      <c r="I51" s="783">
        <v>7000000</v>
      </c>
      <c r="J51" s="783">
        <v>18000000</v>
      </c>
      <c r="K51" s="783">
        <v>14000000</v>
      </c>
      <c r="L51" s="783">
        <v>11000000</v>
      </c>
      <c r="M51" s="783">
        <v>8000000</v>
      </c>
      <c r="N51" s="783">
        <v>5000000</v>
      </c>
      <c r="O51" s="783">
        <v>8000000</v>
      </c>
    </row>
    <row r="52" spans="1:15" s="784" customFormat="1" ht="63.75">
      <c r="A52" s="773" t="s">
        <v>809</v>
      </c>
      <c r="B52" s="768" t="s">
        <v>803</v>
      </c>
      <c r="C52" s="783">
        <f t="shared" si="3"/>
        <v>39700000</v>
      </c>
      <c r="D52" s="783">
        <v>0</v>
      </c>
      <c r="E52" s="783">
        <v>4000000</v>
      </c>
      <c r="F52" s="783">
        <v>1700000</v>
      </c>
      <c r="G52" s="783">
        <v>2000000</v>
      </c>
      <c r="H52" s="783">
        <v>4000000</v>
      </c>
      <c r="I52" s="783">
        <v>16000000</v>
      </c>
      <c r="J52" s="783">
        <v>0</v>
      </c>
      <c r="K52" s="783">
        <v>0</v>
      </c>
      <c r="L52" s="783">
        <v>2000000</v>
      </c>
      <c r="M52" s="783">
        <v>2000000</v>
      </c>
      <c r="N52" s="783">
        <v>2000000</v>
      </c>
      <c r="O52" s="783">
        <v>6000000</v>
      </c>
    </row>
  </sheetData>
  <mergeCells count="1">
    <mergeCell ref="A1:G1"/>
  </mergeCells>
  <pageMargins left="0.7" right="0.7" top="0.75" bottom="0.75" header="0.3" footer="0.3"/>
  <pageSetup paperSize="9" orientation="portrait" verticalDpi="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BF561"/>
  <sheetViews>
    <sheetView workbookViewId="0">
      <selection activeCell="D392" sqref="D392"/>
    </sheetView>
  </sheetViews>
  <sheetFormatPr defaultColWidth="9" defaultRowHeight="11.25" outlineLevelCol="1"/>
  <cols>
    <col min="1" max="1" width="4.5703125" style="71" bestFit="1" customWidth="1"/>
    <col min="2" max="2" width="7.42578125" style="71" bestFit="1" customWidth="1"/>
    <col min="3" max="3" width="7.42578125" style="71" customWidth="1"/>
    <col min="4" max="4" width="24.42578125" style="34" customWidth="1"/>
    <col min="5" max="5" width="11.5703125" style="72" customWidth="1"/>
    <col min="6" max="6" width="8.7109375" style="72" bestFit="1" customWidth="1"/>
    <col min="7" max="7" width="9" style="72" bestFit="1" customWidth="1" outlineLevel="1"/>
    <col min="8" max="8" width="7.85546875" style="72" customWidth="1" outlineLevel="1"/>
    <col min="9" max="9" width="7.85546875" style="72" bestFit="1" customWidth="1" outlineLevel="1"/>
    <col min="10" max="10" width="7.7109375" style="72" bestFit="1" customWidth="1" outlineLevel="1"/>
    <col min="11" max="11" width="7.140625" style="72" bestFit="1" customWidth="1" outlineLevel="1"/>
    <col min="12" max="12" width="8.7109375" style="72" bestFit="1" customWidth="1"/>
    <col min="13" max="13" width="8.7109375" style="72" customWidth="1" outlineLevel="1"/>
    <col min="14" max="16" width="7.85546875" style="72" bestFit="1" customWidth="1" outlineLevel="1"/>
    <col min="17" max="17" width="7.85546875" style="72" customWidth="1" outlineLevel="1"/>
    <col min="18" max="18" width="9.5703125" style="72" bestFit="1" customWidth="1" outlineLevel="1"/>
    <col min="19" max="20" width="7.85546875" style="72" bestFit="1" customWidth="1" outlineLevel="1"/>
    <col min="21" max="22" width="8" style="72" bestFit="1" customWidth="1" outlineLevel="1"/>
    <col min="23" max="24" width="7.85546875" style="72" bestFit="1" customWidth="1" outlineLevel="1"/>
    <col min="25" max="179" width="9.85546875" style="2" customWidth="1"/>
    <col min="180" max="221" width="9" style="2"/>
    <col min="222" max="222" width="5" style="2" customWidth="1"/>
    <col min="223" max="223" width="34.42578125" style="2" customWidth="1"/>
    <col min="224" max="224" width="10.7109375" style="2" customWidth="1"/>
    <col min="225" max="225" width="9.28515625" style="2" customWidth="1"/>
    <col min="226" max="226" width="10.42578125" style="2" customWidth="1"/>
    <col min="227" max="232" width="9.28515625" style="2" customWidth="1"/>
    <col min="233" max="233" width="8.28515625" style="2" customWidth="1"/>
    <col min="234" max="241" width="9.28515625" style="2" customWidth="1"/>
    <col min="242" max="435" width="9.85546875" style="2" customWidth="1"/>
    <col min="436" max="477" width="9" style="2"/>
    <col min="478" max="478" width="5" style="2" customWidth="1"/>
    <col min="479" max="479" width="34.42578125" style="2" customWidth="1"/>
    <col min="480" max="480" width="10.7109375" style="2" customWidth="1"/>
    <col min="481" max="481" width="9.28515625" style="2" customWidth="1"/>
    <col min="482" max="482" width="10.42578125" style="2" customWidth="1"/>
    <col min="483" max="488" width="9.28515625" style="2" customWidth="1"/>
    <col min="489" max="489" width="8.28515625" style="2" customWidth="1"/>
    <col min="490" max="497" width="9.28515625" style="2" customWidth="1"/>
    <col min="498" max="691" width="9.85546875" style="2" customWidth="1"/>
    <col min="692" max="733" width="9" style="2"/>
    <col min="734" max="734" width="5" style="2" customWidth="1"/>
    <col min="735" max="735" width="34.42578125" style="2" customWidth="1"/>
    <col min="736" max="736" width="10.7109375" style="2" customWidth="1"/>
    <col min="737" max="737" width="9.28515625" style="2" customWidth="1"/>
    <col min="738" max="738" width="10.42578125" style="2" customWidth="1"/>
    <col min="739" max="744" width="9.28515625" style="2" customWidth="1"/>
    <col min="745" max="745" width="8.28515625" style="2" customWidth="1"/>
    <col min="746" max="753" width="9.28515625" style="2" customWidth="1"/>
    <col min="754" max="947" width="9.85546875" style="2" customWidth="1"/>
    <col min="948" max="989" width="9" style="2"/>
    <col min="990" max="990" width="5" style="2" customWidth="1"/>
    <col min="991" max="991" width="34.42578125" style="2" customWidth="1"/>
    <col min="992" max="992" width="10.7109375" style="2" customWidth="1"/>
    <col min="993" max="993" width="9.28515625" style="2" customWidth="1"/>
    <col min="994" max="994" width="10.42578125" style="2" customWidth="1"/>
    <col min="995" max="1000" width="9.28515625" style="2" customWidth="1"/>
    <col min="1001" max="1001" width="8.28515625" style="2" customWidth="1"/>
    <col min="1002" max="1009" width="9.28515625" style="2" customWidth="1"/>
    <col min="1010" max="1203" width="9.85546875" style="2" customWidth="1"/>
    <col min="1204" max="1245" width="9" style="2"/>
    <col min="1246" max="1246" width="5" style="2" customWidth="1"/>
    <col min="1247" max="1247" width="34.42578125" style="2" customWidth="1"/>
    <col min="1248" max="1248" width="10.7109375" style="2" customWidth="1"/>
    <col min="1249" max="1249" width="9.28515625" style="2" customWidth="1"/>
    <col min="1250" max="1250" width="10.42578125" style="2" customWidth="1"/>
    <col min="1251" max="1256" width="9.28515625" style="2" customWidth="1"/>
    <col min="1257" max="1257" width="8.28515625" style="2" customWidth="1"/>
    <col min="1258" max="1265" width="9.28515625" style="2" customWidth="1"/>
    <col min="1266" max="1459" width="9.85546875" style="2" customWidth="1"/>
    <col min="1460" max="1501" width="9" style="2"/>
    <col min="1502" max="1502" width="5" style="2" customWidth="1"/>
    <col min="1503" max="1503" width="34.42578125" style="2" customWidth="1"/>
    <col min="1504" max="1504" width="10.7109375" style="2" customWidth="1"/>
    <col min="1505" max="1505" width="9.28515625" style="2" customWidth="1"/>
    <col min="1506" max="1506" width="10.42578125" style="2" customWidth="1"/>
    <col min="1507" max="1512" width="9.28515625" style="2" customWidth="1"/>
    <col min="1513" max="1513" width="8.28515625" style="2" customWidth="1"/>
    <col min="1514" max="1521" width="9.28515625" style="2" customWidth="1"/>
    <col min="1522" max="1715" width="9.85546875" style="2" customWidth="1"/>
    <col min="1716" max="1757" width="9" style="2"/>
    <col min="1758" max="1758" width="5" style="2" customWidth="1"/>
    <col min="1759" max="1759" width="34.42578125" style="2" customWidth="1"/>
    <col min="1760" max="1760" width="10.7109375" style="2" customWidth="1"/>
    <col min="1761" max="1761" width="9.28515625" style="2" customWidth="1"/>
    <col min="1762" max="1762" width="10.42578125" style="2" customWidth="1"/>
    <col min="1763" max="1768" width="9.28515625" style="2" customWidth="1"/>
    <col min="1769" max="1769" width="8.28515625" style="2" customWidth="1"/>
    <col min="1770" max="1777" width="9.28515625" style="2" customWidth="1"/>
    <col min="1778" max="1971" width="9.85546875" style="2" customWidth="1"/>
    <col min="1972" max="2013" width="9" style="2"/>
    <col min="2014" max="2014" width="5" style="2" customWidth="1"/>
    <col min="2015" max="2015" width="34.42578125" style="2" customWidth="1"/>
    <col min="2016" max="2016" width="10.7109375" style="2" customWidth="1"/>
    <col min="2017" max="2017" width="9.28515625" style="2" customWidth="1"/>
    <col min="2018" max="2018" width="10.42578125" style="2" customWidth="1"/>
    <col min="2019" max="2024" width="9.28515625" style="2" customWidth="1"/>
    <col min="2025" max="2025" width="8.28515625" style="2" customWidth="1"/>
    <col min="2026" max="2033" width="9.28515625" style="2" customWidth="1"/>
    <col min="2034" max="2227" width="9.85546875" style="2" customWidth="1"/>
    <col min="2228" max="2269" width="9" style="2"/>
    <col min="2270" max="2270" width="5" style="2" customWidth="1"/>
    <col min="2271" max="2271" width="34.42578125" style="2" customWidth="1"/>
    <col min="2272" max="2272" width="10.7109375" style="2" customWidth="1"/>
    <col min="2273" max="2273" width="9.28515625" style="2" customWidth="1"/>
    <col min="2274" max="2274" width="10.42578125" style="2" customWidth="1"/>
    <col min="2275" max="2280" width="9.28515625" style="2" customWidth="1"/>
    <col min="2281" max="2281" width="8.28515625" style="2" customWidth="1"/>
    <col min="2282" max="2289" width="9.28515625" style="2" customWidth="1"/>
    <col min="2290" max="2483" width="9.85546875" style="2" customWidth="1"/>
    <col min="2484" max="2525" width="9" style="2"/>
    <col min="2526" max="2526" width="5" style="2" customWidth="1"/>
    <col min="2527" max="2527" width="34.42578125" style="2" customWidth="1"/>
    <col min="2528" max="2528" width="10.7109375" style="2" customWidth="1"/>
    <col min="2529" max="2529" width="9.28515625" style="2" customWidth="1"/>
    <col min="2530" max="2530" width="10.42578125" style="2" customWidth="1"/>
    <col min="2531" max="2536" width="9.28515625" style="2" customWidth="1"/>
    <col min="2537" max="2537" width="8.28515625" style="2" customWidth="1"/>
    <col min="2538" max="2545" width="9.28515625" style="2" customWidth="1"/>
    <col min="2546" max="2739" width="9.85546875" style="2" customWidth="1"/>
    <col min="2740" max="2781" width="9" style="2"/>
    <col min="2782" max="2782" width="5" style="2" customWidth="1"/>
    <col min="2783" max="2783" width="34.42578125" style="2" customWidth="1"/>
    <col min="2784" max="2784" width="10.7109375" style="2" customWidth="1"/>
    <col min="2785" max="2785" width="9.28515625" style="2" customWidth="1"/>
    <col min="2786" max="2786" width="10.42578125" style="2" customWidth="1"/>
    <col min="2787" max="2792" width="9.28515625" style="2" customWidth="1"/>
    <col min="2793" max="2793" width="8.28515625" style="2" customWidth="1"/>
    <col min="2794" max="2801" width="9.28515625" style="2" customWidth="1"/>
    <col min="2802" max="2995" width="9.85546875" style="2" customWidth="1"/>
    <col min="2996" max="3037" width="9" style="2"/>
    <col min="3038" max="3038" width="5" style="2" customWidth="1"/>
    <col min="3039" max="3039" width="34.42578125" style="2" customWidth="1"/>
    <col min="3040" max="3040" width="10.7109375" style="2" customWidth="1"/>
    <col min="3041" max="3041" width="9.28515625" style="2" customWidth="1"/>
    <col min="3042" max="3042" width="10.42578125" style="2" customWidth="1"/>
    <col min="3043" max="3048" width="9.28515625" style="2" customWidth="1"/>
    <col min="3049" max="3049" width="8.28515625" style="2" customWidth="1"/>
    <col min="3050" max="3057" width="9.28515625" style="2" customWidth="1"/>
    <col min="3058" max="3251" width="9.85546875" style="2" customWidth="1"/>
    <col min="3252" max="3293" width="9" style="2"/>
    <col min="3294" max="3294" width="5" style="2" customWidth="1"/>
    <col min="3295" max="3295" width="34.42578125" style="2" customWidth="1"/>
    <col min="3296" max="3296" width="10.7109375" style="2" customWidth="1"/>
    <col min="3297" max="3297" width="9.28515625" style="2" customWidth="1"/>
    <col min="3298" max="3298" width="10.42578125" style="2" customWidth="1"/>
    <col min="3299" max="3304" width="9.28515625" style="2" customWidth="1"/>
    <col min="3305" max="3305" width="8.28515625" style="2" customWidth="1"/>
    <col min="3306" max="3313" width="9.28515625" style="2" customWidth="1"/>
    <col min="3314" max="3507" width="9.85546875" style="2" customWidth="1"/>
    <col min="3508" max="3549" width="9" style="2"/>
    <col min="3550" max="3550" width="5" style="2" customWidth="1"/>
    <col min="3551" max="3551" width="34.42578125" style="2" customWidth="1"/>
    <col min="3552" max="3552" width="10.7109375" style="2" customWidth="1"/>
    <col min="3553" max="3553" width="9.28515625" style="2" customWidth="1"/>
    <col min="3554" max="3554" width="10.42578125" style="2" customWidth="1"/>
    <col min="3555" max="3560" width="9.28515625" style="2" customWidth="1"/>
    <col min="3561" max="3561" width="8.28515625" style="2" customWidth="1"/>
    <col min="3562" max="3569" width="9.28515625" style="2" customWidth="1"/>
    <col min="3570" max="3763" width="9.85546875" style="2" customWidth="1"/>
    <col min="3764" max="3805" width="9" style="2"/>
    <col min="3806" max="3806" width="5" style="2" customWidth="1"/>
    <col min="3807" max="3807" width="34.42578125" style="2" customWidth="1"/>
    <col min="3808" max="3808" width="10.7109375" style="2" customWidth="1"/>
    <col min="3809" max="3809" width="9.28515625" style="2" customWidth="1"/>
    <col min="3810" max="3810" width="10.42578125" style="2" customWidth="1"/>
    <col min="3811" max="3816" width="9.28515625" style="2" customWidth="1"/>
    <col min="3817" max="3817" width="8.28515625" style="2" customWidth="1"/>
    <col min="3818" max="3825" width="9.28515625" style="2" customWidth="1"/>
    <col min="3826" max="4019" width="9.85546875" style="2" customWidth="1"/>
    <col min="4020" max="4061" width="9" style="2"/>
    <col min="4062" max="4062" width="5" style="2" customWidth="1"/>
    <col min="4063" max="4063" width="34.42578125" style="2" customWidth="1"/>
    <col min="4064" max="4064" width="10.7109375" style="2" customWidth="1"/>
    <col min="4065" max="4065" width="9.28515625" style="2" customWidth="1"/>
    <col min="4066" max="4066" width="10.42578125" style="2" customWidth="1"/>
    <col min="4067" max="4072" width="9.28515625" style="2" customWidth="1"/>
    <col min="4073" max="4073" width="8.28515625" style="2" customWidth="1"/>
    <col min="4074" max="4081" width="9.28515625" style="2" customWidth="1"/>
    <col min="4082" max="4275" width="9.85546875" style="2" customWidth="1"/>
    <col min="4276" max="4317" width="9" style="2"/>
    <col min="4318" max="4318" width="5" style="2" customWidth="1"/>
    <col min="4319" max="4319" width="34.42578125" style="2" customWidth="1"/>
    <col min="4320" max="4320" width="10.7109375" style="2" customWidth="1"/>
    <col min="4321" max="4321" width="9.28515625" style="2" customWidth="1"/>
    <col min="4322" max="4322" width="10.42578125" style="2" customWidth="1"/>
    <col min="4323" max="4328" width="9.28515625" style="2" customWidth="1"/>
    <col min="4329" max="4329" width="8.28515625" style="2" customWidth="1"/>
    <col min="4330" max="4337" width="9.28515625" style="2" customWidth="1"/>
    <col min="4338" max="4531" width="9.85546875" style="2" customWidth="1"/>
    <col min="4532" max="4573" width="9" style="2"/>
    <col min="4574" max="4574" width="5" style="2" customWidth="1"/>
    <col min="4575" max="4575" width="34.42578125" style="2" customWidth="1"/>
    <col min="4576" max="4576" width="10.7109375" style="2" customWidth="1"/>
    <col min="4577" max="4577" width="9.28515625" style="2" customWidth="1"/>
    <col min="4578" max="4578" width="10.42578125" style="2" customWidth="1"/>
    <col min="4579" max="4584" width="9.28515625" style="2" customWidth="1"/>
    <col min="4585" max="4585" width="8.28515625" style="2" customWidth="1"/>
    <col min="4586" max="4593" width="9.28515625" style="2" customWidth="1"/>
    <col min="4594" max="4787" width="9.85546875" style="2" customWidth="1"/>
    <col min="4788" max="4829" width="9" style="2"/>
    <col min="4830" max="4830" width="5" style="2" customWidth="1"/>
    <col min="4831" max="4831" width="34.42578125" style="2" customWidth="1"/>
    <col min="4832" max="4832" width="10.7109375" style="2" customWidth="1"/>
    <col min="4833" max="4833" width="9.28515625" style="2" customWidth="1"/>
    <col min="4834" max="4834" width="10.42578125" style="2" customWidth="1"/>
    <col min="4835" max="4840" width="9.28515625" style="2" customWidth="1"/>
    <col min="4841" max="4841" width="8.28515625" style="2" customWidth="1"/>
    <col min="4842" max="4849" width="9.28515625" style="2" customWidth="1"/>
    <col min="4850" max="5043" width="9.85546875" style="2" customWidth="1"/>
    <col min="5044" max="5085" width="9" style="2"/>
    <col min="5086" max="5086" width="5" style="2" customWidth="1"/>
    <col min="5087" max="5087" width="34.42578125" style="2" customWidth="1"/>
    <col min="5088" max="5088" width="10.7109375" style="2" customWidth="1"/>
    <col min="5089" max="5089" width="9.28515625" style="2" customWidth="1"/>
    <col min="5090" max="5090" width="10.42578125" style="2" customWidth="1"/>
    <col min="5091" max="5096" width="9.28515625" style="2" customWidth="1"/>
    <col min="5097" max="5097" width="8.28515625" style="2" customWidth="1"/>
    <col min="5098" max="5105" width="9.28515625" style="2" customWidth="1"/>
    <col min="5106" max="5299" width="9.85546875" style="2" customWidth="1"/>
    <col min="5300" max="5341" width="9" style="2"/>
    <col min="5342" max="5342" width="5" style="2" customWidth="1"/>
    <col min="5343" max="5343" width="34.42578125" style="2" customWidth="1"/>
    <col min="5344" max="5344" width="10.7109375" style="2" customWidth="1"/>
    <col min="5345" max="5345" width="9.28515625" style="2" customWidth="1"/>
    <col min="5346" max="5346" width="10.42578125" style="2" customWidth="1"/>
    <col min="5347" max="5352" width="9.28515625" style="2" customWidth="1"/>
    <col min="5353" max="5353" width="8.28515625" style="2" customWidth="1"/>
    <col min="5354" max="5361" width="9.28515625" style="2" customWidth="1"/>
    <col min="5362" max="5555" width="9.85546875" style="2" customWidth="1"/>
    <col min="5556" max="5597" width="9" style="2"/>
    <col min="5598" max="5598" width="5" style="2" customWidth="1"/>
    <col min="5599" max="5599" width="34.42578125" style="2" customWidth="1"/>
    <col min="5600" max="5600" width="10.7109375" style="2" customWidth="1"/>
    <col min="5601" max="5601" width="9.28515625" style="2" customWidth="1"/>
    <col min="5602" max="5602" width="10.42578125" style="2" customWidth="1"/>
    <col min="5603" max="5608" width="9.28515625" style="2" customWidth="1"/>
    <col min="5609" max="5609" width="8.28515625" style="2" customWidth="1"/>
    <col min="5610" max="5617" width="9.28515625" style="2" customWidth="1"/>
    <col min="5618" max="5811" width="9.85546875" style="2" customWidth="1"/>
    <col min="5812" max="5853" width="9" style="2"/>
    <col min="5854" max="5854" width="5" style="2" customWidth="1"/>
    <col min="5855" max="5855" width="34.42578125" style="2" customWidth="1"/>
    <col min="5856" max="5856" width="10.7109375" style="2" customWidth="1"/>
    <col min="5857" max="5857" width="9.28515625" style="2" customWidth="1"/>
    <col min="5858" max="5858" width="10.42578125" style="2" customWidth="1"/>
    <col min="5859" max="5864" width="9.28515625" style="2" customWidth="1"/>
    <col min="5865" max="5865" width="8.28515625" style="2" customWidth="1"/>
    <col min="5866" max="5873" width="9.28515625" style="2" customWidth="1"/>
    <col min="5874" max="6067" width="9.85546875" style="2" customWidth="1"/>
    <col min="6068" max="6109" width="9" style="2"/>
    <col min="6110" max="6110" width="5" style="2" customWidth="1"/>
    <col min="6111" max="6111" width="34.42578125" style="2" customWidth="1"/>
    <col min="6112" max="6112" width="10.7109375" style="2" customWidth="1"/>
    <col min="6113" max="6113" width="9.28515625" style="2" customWidth="1"/>
    <col min="6114" max="6114" width="10.42578125" style="2" customWidth="1"/>
    <col min="6115" max="6120" width="9.28515625" style="2" customWidth="1"/>
    <col min="6121" max="6121" width="8.28515625" style="2" customWidth="1"/>
    <col min="6122" max="6129" width="9.28515625" style="2" customWidth="1"/>
    <col min="6130" max="6323" width="9.85546875" style="2" customWidth="1"/>
    <col min="6324" max="6365" width="9" style="2"/>
    <col min="6366" max="6366" width="5" style="2" customWidth="1"/>
    <col min="6367" max="6367" width="34.42578125" style="2" customWidth="1"/>
    <col min="6368" max="6368" width="10.7109375" style="2" customWidth="1"/>
    <col min="6369" max="6369" width="9.28515625" style="2" customWidth="1"/>
    <col min="6370" max="6370" width="10.42578125" style="2" customWidth="1"/>
    <col min="6371" max="6376" width="9.28515625" style="2" customWidth="1"/>
    <col min="6377" max="6377" width="8.28515625" style="2" customWidth="1"/>
    <col min="6378" max="6385" width="9.28515625" style="2" customWidth="1"/>
    <col min="6386" max="6579" width="9.85546875" style="2" customWidth="1"/>
    <col min="6580" max="6621" width="9" style="2"/>
    <col min="6622" max="6622" width="5" style="2" customWidth="1"/>
    <col min="6623" max="6623" width="34.42578125" style="2" customWidth="1"/>
    <col min="6624" max="6624" width="10.7109375" style="2" customWidth="1"/>
    <col min="6625" max="6625" width="9.28515625" style="2" customWidth="1"/>
    <col min="6626" max="6626" width="10.42578125" style="2" customWidth="1"/>
    <col min="6627" max="6632" width="9.28515625" style="2" customWidth="1"/>
    <col min="6633" max="6633" width="8.28515625" style="2" customWidth="1"/>
    <col min="6634" max="6641" width="9.28515625" style="2" customWidth="1"/>
    <col min="6642" max="6835" width="9.85546875" style="2" customWidth="1"/>
    <col min="6836" max="6877" width="9" style="2"/>
    <col min="6878" max="6878" width="5" style="2" customWidth="1"/>
    <col min="6879" max="6879" width="34.42578125" style="2" customWidth="1"/>
    <col min="6880" max="6880" width="10.7109375" style="2" customWidth="1"/>
    <col min="6881" max="6881" width="9.28515625" style="2" customWidth="1"/>
    <col min="6882" max="6882" width="10.42578125" style="2" customWidth="1"/>
    <col min="6883" max="6888" width="9.28515625" style="2" customWidth="1"/>
    <col min="6889" max="6889" width="8.28515625" style="2" customWidth="1"/>
    <col min="6890" max="6897" width="9.28515625" style="2" customWidth="1"/>
    <col min="6898" max="7091" width="9.85546875" style="2" customWidth="1"/>
    <col min="7092" max="7133" width="9" style="2"/>
    <col min="7134" max="7134" width="5" style="2" customWidth="1"/>
    <col min="7135" max="7135" width="34.42578125" style="2" customWidth="1"/>
    <col min="7136" max="7136" width="10.7109375" style="2" customWidth="1"/>
    <col min="7137" max="7137" width="9.28515625" style="2" customWidth="1"/>
    <col min="7138" max="7138" width="10.42578125" style="2" customWidth="1"/>
    <col min="7139" max="7144" width="9.28515625" style="2" customWidth="1"/>
    <col min="7145" max="7145" width="8.28515625" style="2" customWidth="1"/>
    <col min="7146" max="7153" width="9.28515625" style="2" customWidth="1"/>
    <col min="7154" max="7347" width="9.85546875" style="2" customWidth="1"/>
    <col min="7348" max="7389" width="9" style="2"/>
    <col min="7390" max="7390" width="5" style="2" customWidth="1"/>
    <col min="7391" max="7391" width="34.42578125" style="2" customWidth="1"/>
    <col min="7392" max="7392" width="10.7109375" style="2" customWidth="1"/>
    <col min="7393" max="7393" width="9.28515625" style="2" customWidth="1"/>
    <col min="7394" max="7394" width="10.42578125" style="2" customWidth="1"/>
    <col min="7395" max="7400" width="9.28515625" style="2" customWidth="1"/>
    <col min="7401" max="7401" width="8.28515625" style="2" customWidth="1"/>
    <col min="7402" max="7409" width="9.28515625" style="2" customWidth="1"/>
    <col min="7410" max="7603" width="9.85546875" style="2" customWidth="1"/>
    <col min="7604" max="7645" width="9" style="2"/>
    <col min="7646" max="7646" width="5" style="2" customWidth="1"/>
    <col min="7647" max="7647" width="34.42578125" style="2" customWidth="1"/>
    <col min="7648" max="7648" width="10.7109375" style="2" customWidth="1"/>
    <col min="7649" max="7649" width="9.28515625" style="2" customWidth="1"/>
    <col min="7650" max="7650" width="10.42578125" style="2" customWidth="1"/>
    <col min="7651" max="7656" width="9.28515625" style="2" customWidth="1"/>
    <col min="7657" max="7657" width="8.28515625" style="2" customWidth="1"/>
    <col min="7658" max="7665" width="9.28515625" style="2" customWidth="1"/>
    <col min="7666" max="7859" width="9.85546875" style="2" customWidth="1"/>
    <col min="7860" max="7901" width="9" style="2"/>
    <col min="7902" max="7902" width="5" style="2" customWidth="1"/>
    <col min="7903" max="7903" width="34.42578125" style="2" customWidth="1"/>
    <col min="7904" max="7904" width="10.7109375" style="2" customWidth="1"/>
    <col min="7905" max="7905" width="9.28515625" style="2" customWidth="1"/>
    <col min="7906" max="7906" width="10.42578125" style="2" customWidth="1"/>
    <col min="7907" max="7912" width="9.28515625" style="2" customWidth="1"/>
    <col min="7913" max="7913" width="8.28515625" style="2" customWidth="1"/>
    <col min="7914" max="7921" width="9.28515625" style="2" customWidth="1"/>
    <col min="7922" max="8115" width="9.85546875" style="2" customWidth="1"/>
    <col min="8116" max="8157" width="9" style="2"/>
    <col min="8158" max="8158" width="5" style="2" customWidth="1"/>
    <col min="8159" max="8159" width="34.42578125" style="2" customWidth="1"/>
    <col min="8160" max="8160" width="10.7109375" style="2" customWidth="1"/>
    <col min="8161" max="8161" width="9.28515625" style="2" customWidth="1"/>
    <col min="8162" max="8162" width="10.42578125" style="2" customWidth="1"/>
    <col min="8163" max="8168" width="9.28515625" style="2" customWidth="1"/>
    <col min="8169" max="8169" width="8.28515625" style="2" customWidth="1"/>
    <col min="8170" max="8177" width="9.28515625" style="2" customWidth="1"/>
    <col min="8178" max="8371" width="9.85546875" style="2" customWidth="1"/>
    <col min="8372" max="8413" width="9" style="2"/>
    <col min="8414" max="8414" width="5" style="2" customWidth="1"/>
    <col min="8415" max="8415" width="34.42578125" style="2" customWidth="1"/>
    <col min="8416" max="8416" width="10.7109375" style="2" customWidth="1"/>
    <col min="8417" max="8417" width="9.28515625" style="2" customWidth="1"/>
    <col min="8418" max="8418" width="10.42578125" style="2" customWidth="1"/>
    <col min="8419" max="8424" width="9.28515625" style="2" customWidth="1"/>
    <col min="8425" max="8425" width="8.28515625" style="2" customWidth="1"/>
    <col min="8426" max="8433" width="9.28515625" style="2" customWidth="1"/>
    <col min="8434" max="8627" width="9.85546875" style="2" customWidth="1"/>
    <col min="8628" max="8669" width="9" style="2"/>
    <col min="8670" max="8670" width="5" style="2" customWidth="1"/>
    <col min="8671" max="8671" width="34.42578125" style="2" customWidth="1"/>
    <col min="8672" max="8672" width="10.7109375" style="2" customWidth="1"/>
    <col min="8673" max="8673" width="9.28515625" style="2" customWidth="1"/>
    <col min="8674" max="8674" width="10.42578125" style="2" customWidth="1"/>
    <col min="8675" max="8680" width="9.28515625" style="2" customWidth="1"/>
    <col min="8681" max="8681" width="8.28515625" style="2" customWidth="1"/>
    <col min="8682" max="8689" width="9.28515625" style="2" customWidth="1"/>
    <col min="8690" max="8883" width="9.85546875" style="2" customWidth="1"/>
    <col min="8884" max="8925" width="9" style="2"/>
    <col min="8926" max="8926" width="5" style="2" customWidth="1"/>
    <col min="8927" max="8927" width="34.42578125" style="2" customWidth="1"/>
    <col min="8928" max="8928" width="10.7109375" style="2" customWidth="1"/>
    <col min="8929" max="8929" width="9.28515625" style="2" customWidth="1"/>
    <col min="8930" max="8930" width="10.42578125" style="2" customWidth="1"/>
    <col min="8931" max="8936" width="9.28515625" style="2" customWidth="1"/>
    <col min="8937" max="8937" width="8.28515625" style="2" customWidth="1"/>
    <col min="8938" max="8945" width="9.28515625" style="2" customWidth="1"/>
    <col min="8946" max="9139" width="9.85546875" style="2" customWidth="1"/>
    <col min="9140" max="9181" width="9" style="2"/>
    <col min="9182" max="9182" width="5" style="2" customWidth="1"/>
    <col min="9183" max="9183" width="34.42578125" style="2" customWidth="1"/>
    <col min="9184" max="9184" width="10.7109375" style="2" customWidth="1"/>
    <col min="9185" max="9185" width="9.28515625" style="2" customWidth="1"/>
    <col min="9186" max="9186" width="10.42578125" style="2" customWidth="1"/>
    <col min="9187" max="9192" width="9.28515625" style="2" customWidth="1"/>
    <col min="9193" max="9193" width="8.28515625" style="2" customWidth="1"/>
    <col min="9194" max="9201" width="9.28515625" style="2" customWidth="1"/>
    <col min="9202" max="9395" width="9.85546875" style="2" customWidth="1"/>
    <col min="9396" max="9437" width="9" style="2"/>
    <col min="9438" max="9438" width="5" style="2" customWidth="1"/>
    <col min="9439" max="9439" width="34.42578125" style="2" customWidth="1"/>
    <col min="9440" max="9440" width="10.7109375" style="2" customWidth="1"/>
    <col min="9441" max="9441" width="9.28515625" style="2" customWidth="1"/>
    <col min="9442" max="9442" width="10.42578125" style="2" customWidth="1"/>
    <col min="9443" max="9448" width="9.28515625" style="2" customWidth="1"/>
    <col min="9449" max="9449" width="8.28515625" style="2" customWidth="1"/>
    <col min="9450" max="9457" width="9.28515625" style="2" customWidth="1"/>
    <col min="9458" max="9651" width="9.85546875" style="2" customWidth="1"/>
    <col min="9652" max="9693" width="9" style="2"/>
    <col min="9694" max="9694" width="5" style="2" customWidth="1"/>
    <col min="9695" max="9695" width="34.42578125" style="2" customWidth="1"/>
    <col min="9696" max="9696" width="10.7109375" style="2" customWidth="1"/>
    <col min="9697" max="9697" width="9.28515625" style="2" customWidth="1"/>
    <col min="9698" max="9698" width="10.42578125" style="2" customWidth="1"/>
    <col min="9699" max="9704" width="9.28515625" style="2" customWidth="1"/>
    <col min="9705" max="9705" width="8.28515625" style="2" customWidth="1"/>
    <col min="9706" max="9713" width="9.28515625" style="2" customWidth="1"/>
    <col min="9714" max="9907" width="9.85546875" style="2" customWidth="1"/>
    <col min="9908" max="9949" width="9" style="2"/>
    <col min="9950" max="9950" width="5" style="2" customWidth="1"/>
    <col min="9951" max="9951" width="34.42578125" style="2" customWidth="1"/>
    <col min="9952" max="9952" width="10.7109375" style="2" customWidth="1"/>
    <col min="9953" max="9953" width="9.28515625" style="2" customWidth="1"/>
    <col min="9954" max="9954" width="10.42578125" style="2" customWidth="1"/>
    <col min="9955" max="9960" width="9.28515625" style="2" customWidth="1"/>
    <col min="9961" max="9961" width="8.28515625" style="2" customWidth="1"/>
    <col min="9962" max="9969" width="9.28515625" style="2" customWidth="1"/>
    <col min="9970" max="10163" width="9.85546875" style="2" customWidth="1"/>
    <col min="10164" max="10205" width="9" style="2"/>
    <col min="10206" max="10206" width="5" style="2" customWidth="1"/>
    <col min="10207" max="10207" width="34.42578125" style="2" customWidth="1"/>
    <col min="10208" max="10208" width="10.7109375" style="2" customWidth="1"/>
    <col min="10209" max="10209" width="9.28515625" style="2" customWidth="1"/>
    <col min="10210" max="10210" width="10.42578125" style="2" customWidth="1"/>
    <col min="10211" max="10216" width="9.28515625" style="2" customWidth="1"/>
    <col min="10217" max="10217" width="8.28515625" style="2" customWidth="1"/>
    <col min="10218" max="10225" width="9.28515625" style="2" customWidth="1"/>
    <col min="10226" max="10419" width="9.85546875" style="2" customWidth="1"/>
    <col min="10420" max="10461" width="9" style="2"/>
    <col min="10462" max="10462" width="5" style="2" customWidth="1"/>
    <col min="10463" max="10463" width="34.42578125" style="2" customWidth="1"/>
    <col min="10464" max="10464" width="10.7109375" style="2" customWidth="1"/>
    <col min="10465" max="10465" width="9.28515625" style="2" customWidth="1"/>
    <col min="10466" max="10466" width="10.42578125" style="2" customWidth="1"/>
    <col min="10467" max="10472" width="9.28515625" style="2" customWidth="1"/>
    <col min="10473" max="10473" width="8.28515625" style="2" customWidth="1"/>
    <col min="10474" max="10481" width="9.28515625" style="2" customWidth="1"/>
    <col min="10482" max="10675" width="9.85546875" style="2" customWidth="1"/>
    <col min="10676" max="10717" width="9" style="2"/>
    <col min="10718" max="10718" width="5" style="2" customWidth="1"/>
    <col min="10719" max="10719" width="34.42578125" style="2" customWidth="1"/>
    <col min="10720" max="10720" width="10.7109375" style="2" customWidth="1"/>
    <col min="10721" max="10721" width="9.28515625" style="2" customWidth="1"/>
    <col min="10722" max="10722" width="10.42578125" style="2" customWidth="1"/>
    <col min="10723" max="10728" width="9.28515625" style="2" customWidth="1"/>
    <col min="10729" max="10729" width="8.28515625" style="2" customWidth="1"/>
    <col min="10730" max="10737" width="9.28515625" style="2" customWidth="1"/>
    <col min="10738" max="10931" width="9.85546875" style="2" customWidth="1"/>
    <col min="10932" max="10973" width="9" style="2"/>
    <col min="10974" max="10974" width="5" style="2" customWidth="1"/>
    <col min="10975" max="10975" width="34.42578125" style="2" customWidth="1"/>
    <col min="10976" max="10976" width="10.7109375" style="2" customWidth="1"/>
    <col min="10977" max="10977" width="9.28515625" style="2" customWidth="1"/>
    <col min="10978" max="10978" width="10.42578125" style="2" customWidth="1"/>
    <col min="10979" max="10984" width="9.28515625" style="2" customWidth="1"/>
    <col min="10985" max="10985" width="8.28515625" style="2" customWidth="1"/>
    <col min="10986" max="10993" width="9.28515625" style="2" customWidth="1"/>
    <col min="10994" max="11187" width="9.85546875" style="2" customWidth="1"/>
    <col min="11188" max="11229" width="9" style="2"/>
    <col min="11230" max="11230" width="5" style="2" customWidth="1"/>
    <col min="11231" max="11231" width="34.42578125" style="2" customWidth="1"/>
    <col min="11232" max="11232" width="10.7109375" style="2" customWidth="1"/>
    <col min="11233" max="11233" width="9.28515625" style="2" customWidth="1"/>
    <col min="11234" max="11234" width="10.42578125" style="2" customWidth="1"/>
    <col min="11235" max="11240" width="9.28515625" style="2" customWidth="1"/>
    <col min="11241" max="11241" width="8.28515625" style="2" customWidth="1"/>
    <col min="11242" max="11249" width="9.28515625" style="2" customWidth="1"/>
    <col min="11250" max="11443" width="9.85546875" style="2" customWidth="1"/>
    <col min="11444" max="11485" width="9" style="2"/>
    <col min="11486" max="11486" width="5" style="2" customWidth="1"/>
    <col min="11487" max="11487" width="34.42578125" style="2" customWidth="1"/>
    <col min="11488" max="11488" width="10.7109375" style="2" customWidth="1"/>
    <col min="11489" max="11489" width="9.28515625" style="2" customWidth="1"/>
    <col min="11490" max="11490" width="10.42578125" style="2" customWidth="1"/>
    <col min="11491" max="11496" width="9.28515625" style="2" customWidth="1"/>
    <col min="11497" max="11497" width="8.28515625" style="2" customWidth="1"/>
    <col min="11498" max="11505" width="9.28515625" style="2" customWidth="1"/>
    <col min="11506" max="11699" width="9.85546875" style="2" customWidth="1"/>
    <col min="11700" max="11741" width="9" style="2"/>
    <col min="11742" max="11742" width="5" style="2" customWidth="1"/>
    <col min="11743" max="11743" width="34.42578125" style="2" customWidth="1"/>
    <col min="11744" max="11744" width="10.7109375" style="2" customWidth="1"/>
    <col min="11745" max="11745" width="9.28515625" style="2" customWidth="1"/>
    <col min="11746" max="11746" width="10.42578125" style="2" customWidth="1"/>
    <col min="11747" max="11752" width="9.28515625" style="2" customWidth="1"/>
    <col min="11753" max="11753" width="8.28515625" style="2" customWidth="1"/>
    <col min="11754" max="11761" width="9.28515625" style="2" customWidth="1"/>
    <col min="11762" max="11955" width="9.85546875" style="2" customWidth="1"/>
    <col min="11956" max="11997" width="9" style="2"/>
    <col min="11998" max="11998" width="5" style="2" customWidth="1"/>
    <col min="11999" max="11999" width="34.42578125" style="2" customWidth="1"/>
    <col min="12000" max="12000" width="10.7109375" style="2" customWidth="1"/>
    <col min="12001" max="12001" width="9.28515625" style="2" customWidth="1"/>
    <col min="12002" max="12002" width="10.42578125" style="2" customWidth="1"/>
    <col min="12003" max="12008" width="9.28515625" style="2" customWidth="1"/>
    <col min="12009" max="12009" width="8.28515625" style="2" customWidth="1"/>
    <col min="12010" max="12017" width="9.28515625" style="2" customWidth="1"/>
    <col min="12018" max="12211" width="9.85546875" style="2" customWidth="1"/>
    <col min="12212" max="12253" width="9" style="2"/>
    <col min="12254" max="12254" width="5" style="2" customWidth="1"/>
    <col min="12255" max="12255" width="34.42578125" style="2" customWidth="1"/>
    <col min="12256" max="12256" width="10.7109375" style="2" customWidth="1"/>
    <col min="12257" max="12257" width="9.28515625" style="2" customWidth="1"/>
    <col min="12258" max="12258" width="10.42578125" style="2" customWidth="1"/>
    <col min="12259" max="12264" width="9.28515625" style="2" customWidth="1"/>
    <col min="12265" max="12265" width="8.28515625" style="2" customWidth="1"/>
    <col min="12266" max="12273" width="9.28515625" style="2" customWidth="1"/>
    <col min="12274" max="12467" width="9.85546875" style="2" customWidth="1"/>
    <col min="12468" max="12509" width="9" style="2"/>
    <col min="12510" max="12510" width="5" style="2" customWidth="1"/>
    <col min="12511" max="12511" width="34.42578125" style="2" customWidth="1"/>
    <col min="12512" max="12512" width="10.7109375" style="2" customWidth="1"/>
    <col min="12513" max="12513" width="9.28515625" style="2" customWidth="1"/>
    <col min="12514" max="12514" width="10.42578125" style="2" customWidth="1"/>
    <col min="12515" max="12520" width="9.28515625" style="2" customWidth="1"/>
    <col min="12521" max="12521" width="8.28515625" style="2" customWidth="1"/>
    <col min="12522" max="12529" width="9.28515625" style="2" customWidth="1"/>
    <col min="12530" max="12723" width="9.85546875" style="2" customWidth="1"/>
    <col min="12724" max="12765" width="9" style="2"/>
    <col min="12766" max="12766" width="5" style="2" customWidth="1"/>
    <col min="12767" max="12767" width="34.42578125" style="2" customWidth="1"/>
    <col min="12768" max="12768" width="10.7109375" style="2" customWidth="1"/>
    <col min="12769" max="12769" width="9.28515625" style="2" customWidth="1"/>
    <col min="12770" max="12770" width="10.42578125" style="2" customWidth="1"/>
    <col min="12771" max="12776" width="9.28515625" style="2" customWidth="1"/>
    <col min="12777" max="12777" width="8.28515625" style="2" customWidth="1"/>
    <col min="12778" max="12785" width="9.28515625" style="2" customWidth="1"/>
    <col min="12786" max="12979" width="9.85546875" style="2" customWidth="1"/>
    <col min="12980" max="13021" width="9" style="2"/>
    <col min="13022" max="13022" width="5" style="2" customWidth="1"/>
    <col min="13023" max="13023" width="34.42578125" style="2" customWidth="1"/>
    <col min="13024" max="13024" width="10.7109375" style="2" customWidth="1"/>
    <col min="13025" max="13025" width="9.28515625" style="2" customWidth="1"/>
    <col min="13026" max="13026" width="10.42578125" style="2" customWidth="1"/>
    <col min="13027" max="13032" width="9.28515625" style="2" customWidth="1"/>
    <col min="13033" max="13033" width="8.28515625" style="2" customWidth="1"/>
    <col min="13034" max="13041" width="9.28515625" style="2" customWidth="1"/>
    <col min="13042" max="13235" width="9.85546875" style="2" customWidth="1"/>
    <col min="13236" max="13277" width="9" style="2"/>
    <col min="13278" max="13278" width="5" style="2" customWidth="1"/>
    <col min="13279" max="13279" width="34.42578125" style="2" customWidth="1"/>
    <col min="13280" max="13280" width="10.7109375" style="2" customWidth="1"/>
    <col min="13281" max="13281" width="9.28515625" style="2" customWidth="1"/>
    <col min="13282" max="13282" width="10.42578125" style="2" customWidth="1"/>
    <col min="13283" max="13288" width="9.28515625" style="2" customWidth="1"/>
    <col min="13289" max="13289" width="8.28515625" style="2" customWidth="1"/>
    <col min="13290" max="13297" width="9.28515625" style="2" customWidth="1"/>
    <col min="13298" max="13491" width="9.85546875" style="2" customWidth="1"/>
    <col min="13492" max="13533" width="9" style="2"/>
    <col min="13534" max="13534" width="5" style="2" customWidth="1"/>
    <col min="13535" max="13535" width="34.42578125" style="2" customWidth="1"/>
    <col min="13536" max="13536" width="10.7109375" style="2" customWidth="1"/>
    <col min="13537" max="13537" width="9.28515625" style="2" customWidth="1"/>
    <col min="13538" max="13538" width="10.42578125" style="2" customWidth="1"/>
    <col min="13539" max="13544" width="9.28515625" style="2" customWidth="1"/>
    <col min="13545" max="13545" width="8.28515625" style="2" customWidth="1"/>
    <col min="13546" max="13553" width="9.28515625" style="2" customWidth="1"/>
    <col min="13554" max="13747" width="9.85546875" style="2" customWidth="1"/>
    <col min="13748" max="13789" width="9" style="2"/>
    <col min="13790" max="13790" width="5" style="2" customWidth="1"/>
    <col min="13791" max="13791" width="34.42578125" style="2" customWidth="1"/>
    <col min="13792" max="13792" width="10.7109375" style="2" customWidth="1"/>
    <col min="13793" max="13793" width="9.28515625" style="2" customWidth="1"/>
    <col min="13794" max="13794" width="10.42578125" style="2" customWidth="1"/>
    <col min="13795" max="13800" width="9.28515625" style="2" customWidth="1"/>
    <col min="13801" max="13801" width="8.28515625" style="2" customWidth="1"/>
    <col min="13802" max="13809" width="9.28515625" style="2" customWidth="1"/>
    <col min="13810" max="14003" width="9.85546875" style="2" customWidth="1"/>
    <col min="14004" max="14045" width="9" style="2"/>
    <col min="14046" max="14046" width="5" style="2" customWidth="1"/>
    <col min="14047" max="14047" width="34.42578125" style="2" customWidth="1"/>
    <col min="14048" max="14048" width="10.7109375" style="2" customWidth="1"/>
    <col min="14049" max="14049" width="9.28515625" style="2" customWidth="1"/>
    <col min="14050" max="14050" width="10.42578125" style="2" customWidth="1"/>
    <col min="14051" max="14056" width="9.28515625" style="2" customWidth="1"/>
    <col min="14057" max="14057" width="8.28515625" style="2" customWidth="1"/>
    <col min="14058" max="14065" width="9.28515625" style="2" customWidth="1"/>
    <col min="14066" max="14259" width="9.85546875" style="2" customWidth="1"/>
    <col min="14260" max="14301" width="9" style="2"/>
    <col min="14302" max="14302" width="5" style="2" customWidth="1"/>
    <col min="14303" max="14303" width="34.42578125" style="2" customWidth="1"/>
    <col min="14304" max="14304" width="10.7109375" style="2" customWidth="1"/>
    <col min="14305" max="14305" width="9.28515625" style="2" customWidth="1"/>
    <col min="14306" max="14306" width="10.42578125" style="2" customWidth="1"/>
    <col min="14307" max="14312" width="9.28515625" style="2" customWidth="1"/>
    <col min="14313" max="14313" width="8.28515625" style="2" customWidth="1"/>
    <col min="14314" max="14321" width="9.28515625" style="2" customWidth="1"/>
    <col min="14322" max="14515" width="9.85546875" style="2" customWidth="1"/>
    <col min="14516" max="14557" width="9" style="2"/>
    <col min="14558" max="14558" width="5" style="2" customWidth="1"/>
    <col min="14559" max="14559" width="34.42578125" style="2" customWidth="1"/>
    <col min="14560" max="14560" width="10.7109375" style="2" customWidth="1"/>
    <col min="14561" max="14561" width="9.28515625" style="2" customWidth="1"/>
    <col min="14562" max="14562" width="10.42578125" style="2" customWidth="1"/>
    <col min="14563" max="14568" width="9.28515625" style="2" customWidth="1"/>
    <col min="14569" max="14569" width="8.28515625" style="2" customWidth="1"/>
    <col min="14570" max="14577" width="9.28515625" style="2" customWidth="1"/>
    <col min="14578" max="14771" width="9.85546875" style="2" customWidth="1"/>
    <col min="14772" max="14813" width="9" style="2"/>
    <col min="14814" max="14814" width="5" style="2" customWidth="1"/>
    <col min="14815" max="14815" width="34.42578125" style="2" customWidth="1"/>
    <col min="14816" max="14816" width="10.7109375" style="2" customWidth="1"/>
    <col min="14817" max="14817" width="9.28515625" style="2" customWidth="1"/>
    <col min="14818" max="14818" width="10.42578125" style="2" customWidth="1"/>
    <col min="14819" max="14824" width="9.28515625" style="2" customWidth="1"/>
    <col min="14825" max="14825" width="8.28515625" style="2" customWidth="1"/>
    <col min="14826" max="14833" width="9.28515625" style="2" customWidth="1"/>
    <col min="14834" max="15027" width="9.85546875" style="2" customWidth="1"/>
    <col min="15028" max="15069" width="9" style="2"/>
    <col min="15070" max="15070" width="5" style="2" customWidth="1"/>
    <col min="15071" max="15071" width="34.42578125" style="2" customWidth="1"/>
    <col min="15072" max="15072" width="10.7109375" style="2" customWidth="1"/>
    <col min="15073" max="15073" width="9.28515625" style="2" customWidth="1"/>
    <col min="15074" max="15074" width="10.42578125" style="2" customWidth="1"/>
    <col min="15075" max="15080" width="9.28515625" style="2" customWidth="1"/>
    <col min="15081" max="15081" width="8.28515625" style="2" customWidth="1"/>
    <col min="15082" max="15089" width="9.28515625" style="2" customWidth="1"/>
    <col min="15090" max="15283" width="9.85546875" style="2" customWidth="1"/>
    <col min="15284" max="15325" width="9" style="2"/>
    <col min="15326" max="15326" width="5" style="2" customWidth="1"/>
    <col min="15327" max="15327" width="34.42578125" style="2" customWidth="1"/>
    <col min="15328" max="15328" width="10.7109375" style="2" customWidth="1"/>
    <col min="15329" max="15329" width="9.28515625" style="2" customWidth="1"/>
    <col min="15330" max="15330" width="10.42578125" style="2" customWidth="1"/>
    <col min="15331" max="15336" width="9.28515625" style="2" customWidth="1"/>
    <col min="15337" max="15337" width="8.28515625" style="2" customWidth="1"/>
    <col min="15338" max="15345" width="9.28515625" style="2" customWidth="1"/>
    <col min="15346" max="15539" width="9.85546875" style="2" customWidth="1"/>
    <col min="15540" max="15581" width="9" style="2"/>
    <col min="15582" max="15582" width="5" style="2" customWidth="1"/>
    <col min="15583" max="15583" width="34.42578125" style="2" customWidth="1"/>
    <col min="15584" max="15584" width="10.7109375" style="2" customWidth="1"/>
    <col min="15585" max="15585" width="9.28515625" style="2" customWidth="1"/>
    <col min="15586" max="15586" width="10.42578125" style="2" customWidth="1"/>
    <col min="15587" max="15592" width="9.28515625" style="2" customWidth="1"/>
    <col min="15593" max="15593" width="8.28515625" style="2" customWidth="1"/>
    <col min="15594" max="15601" width="9.28515625" style="2" customWidth="1"/>
    <col min="15602" max="15795" width="9.85546875" style="2" customWidth="1"/>
    <col min="15796" max="15837" width="9" style="2"/>
    <col min="15838" max="15838" width="5" style="2" customWidth="1"/>
    <col min="15839" max="15839" width="34.42578125" style="2" customWidth="1"/>
    <col min="15840" max="15840" width="10.7109375" style="2" customWidth="1"/>
    <col min="15841" max="15841" width="9.28515625" style="2" customWidth="1"/>
    <col min="15842" max="15842" width="10.42578125" style="2" customWidth="1"/>
    <col min="15843" max="15848" width="9.28515625" style="2" customWidth="1"/>
    <col min="15849" max="15849" width="8.28515625" style="2" customWidth="1"/>
    <col min="15850" max="15857" width="9.28515625" style="2" customWidth="1"/>
    <col min="15858" max="16384" width="9.85546875" style="2" customWidth="1"/>
  </cols>
  <sheetData>
    <row r="2" spans="1:24">
      <c r="A2" s="1981" t="s">
        <v>313</v>
      </c>
      <c r="B2" s="1981"/>
      <c r="C2" s="1981"/>
      <c r="D2" s="1981"/>
      <c r="E2" s="1981"/>
      <c r="F2" s="1981"/>
      <c r="G2" s="1981"/>
      <c r="H2" s="1981"/>
      <c r="I2" s="1981"/>
      <c r="J2" s="1981"/>
      <c r="K2" s="1981"/>
      <c r="L2" s="1981"/>
      <c r="M2" s="1981"/>
      <c r="N2" s="1981"/>
      <c r="O2" s="1981"/>
      <c r="P2" s="1981"/>
      <c r="Q2" s="1981"/>
      <c r="R2" s="1981"/>
      <c r="S2" s="1981"/>
      <c r="T2" s="1981"/>
      <c r="U2" s="1981"/>
      <c r="V2" s="1981"/>
      <c r="W2" s="1981"/>
      <c r="X2" s="1981"/>
    </row>
    <row r="3" spans="1:24">
      <c r="U3" s="1982" t="s">
        <v>228</v>
      </c>
      <c r="V3" s="1982"/>
      <c r="W3" s="1982"/>
      <c r="X3" s="1982"/>
    </row>
    <row r="4" spans="1:24">
      <c r="A4" s="1983" t="s">
        <v>309</v>
      </c>
      <c r="B4" s="73"/>
      <c r="C4" s="73"/>
      <c r="D4" s="1986" t="s">
        <v>250</v>
      </c>
      <c r="E4" s="1989" t="s">
        <v>0</v>
      </c>
      <c r="F4" s="1990"/>
      <c r="G4" s="1990"/>
      <c r="H4" s="1990"/>
      <c r="I4" s="1990"/>
      <c r="J4" s="1990"/>
      <c r="K4" s="1990"/>
      <c r="L4" s="1990"/>
      <c r="M4" s="1990"/>
      <c r="N4" s="1990"/>
      <c r="O4" s="1990"/>
      <c r="P4" s="1990"/>
      <c r="Q4" s="1990"/>
      <c r="R4" s="1990"/>
      <c r="S4" s="1990"/>
      <c r="T4" s="1990"/>
      <c r="U4" s="1990"/>
      <c r="V4" s="1990"/>
      <c r="W4" s="1990"/>
      <c r="X4" s="1991"/>
    </row>
    <row r="5" spans="1:24">
      <c r="A5" s="1984"/>
      <c r="B5" s="74"/>
      <c r="C5" s="74"/>
      <c r="D5" s="1987"/>
      <c r="E5" s="1992" t="s">
        <v>308</v>
      </c>
      <c r="F5" s="1989" t="s">
        <v>311</v>
      </c>
      <c r="G5" s="1990"/>
      <c r="H5" s="1990"/>
      <c r="I5" s="1990"/>
      <c r="J5" s="1990"/>
      <c r="K5" s="1991"/>
      <c r="L5" s="1989" t="s">
        <v>310</v>
      </c>
      <c r="M5" s="1990"/>
      <c r="N5" s="1990"/>
      <c r="O5" s="1990"/>
      <c r="P5" s="1990"/>
      <c r="Q5" s="1990"/>
      <c r="R5" s="1990"/>
      <c r="S5" s="1990"/>
      <c r="T5" s="1990"/>
      <c r="U5" s="1990"/>
      <c r="V5" s="1990"/>
      <c r="W5" s="1990"/>
      <c r="X5" s="1991"/>
    </row>
    <row r="6" spans="1:24">
      <c r="A6" s="1984"/>
      <c r="B6" s="74"/>
      <c r="C6" s="74"/>
      <c r="D6" s="1987"/>
      <c r="E6" s="1993"/>
      <c r="F6" s="1995"/>
      <c r="G6" s="1996"/>
      <c r="H6" s="1996"/>
      <c r="I6" s="1996"/>
      <c r="J6" s="1996"/>
      <c r="K6" s="1997"/>
      <c r="L6" s="1995"/>
      <c r="M6" s="1996"/>
      <c r="N6" s="1996"/>
      <c r="O6" s="1996"/>
      <c r="P6" s="1996"/>
      <c r="Q6" s="1996"/>
      <c r="R6" s="1996"/>
      <c r="S6" s="1996"/>
      <c r="T6" s="1996"/>
      <c r="U6" s="1996"/>
      <c r="V6" s="1996"/>
      <c r="W6" s="1996"/>
      <c r="X6" s="1997"/>
    </row>
    <row r="7" spans="1:24" s="82" customFormat="1" ht="21">
      <c r="A7" s="1985"/>
      <c r="B7" s="75"/>
      <c r="C7" s="75"/>
      <c r="D7" s="1988"/>
      <c r="E7" s="1993"/>
      <c r="F7" s="76" t="s">
        <v>5</v>
      </c>
      <c r="G7" s="76" t="s">
        <v>34</v>
      </c>
      <c r="H7" s="76" t="s">
        <v>1</v>
      </c>
      <c r="I7" s="76" t="s">
        <v>2</v>
      </c>
      <c r="J7" s="77" t="s">
        <v>3</v>
      </c>
      <c r="K7" s="78" t="s">
        <v>4</v>
      </c>
      <c r="L7" s="79" t="s">
        <v>5</v>
      </c>
      <c r="M7" s="80" t="s">
        <v>6</v>
      </c>
      <c r="N7" s="81" t="s">
        <v>7</v>
      </c>
      <c r="O7" s="81" t="s">
        <v>8</v>
      </c>
      <c r="P7" s="81" t="s">
        <v>9</v>
      </c>
      <c r="Q7" s="81" t="s">
        <v>10</v>
      </c>
      <c r="R7" s="81" t="s">
        <v>11</v>
      </c>
      <c r="S7" s="81" t="s">
        <v>12</v>
      </c>
      <c r="T7" s="81" t="s">
        <v>13</v>
      </c>
      <c r="U7" s="81" t="s">
        <v>14</v>
      </c>
      <c r="V7" s="81" t="s">
        <v>15</v>
      </c>
      <c r="W7" s="81" t="s">
        <v>16</v>
      </c>
      <c r="X7" s="81" t="s">
        <v>17</v>
      </c>
    </row>
    <row r="8" spans="1:24" s="90" customFormat="1">
      <c r="A8" s="83"/>
      <c r="B8" s="83"/>
      <c r="C8" s="83"/>
      <c r="D8" s="84"/>
      <c r="E8" s="1994"/>
      <c r="F8" s="86"/>
      <c r="G8" s="86">
        <v>1</v>
      </c>
      <c r="H8" s="86">
        <v>2</v>
      </c>
      <c r="I8" s="86">
        <v>3</v>
      </c>
      <c r="J8" s="86">
        <v>4</v>
      </c>
      <c r="K8" s="86">
        <v>5</v>
      </c>
      <c r="L8" s="87"/>
      <c r="M8" s="88">
        <v>1</v>
      </c>
      <c r="N8" s="89">
        <v>2</v>
      </c>
      <c r="O8" s="88">
        <v>3</v>
      </c>
      <c r="P8" s="89">
        <v>4</v>
      </c>
      <c r="Q8" s="88">
        <v>5</v>
      </c>
      <c r="R8" s="89">
        <v>6</v>
      </c>
      <c r="S8" s="88">
        <v>7</v>
      </c>
      <c r="T8" s="89">
        <v>8</v>
      </c>
      <c r="U8" s="88">
        <v>9</v>
      </c>
      <c r="V8" s="89">
        <v>10</v>
      </c>
      <c r="W8" s="88">
        <v>11</v>
      </c>
      <c r="X8" s="89">
        <v>12</v>
      </c>
    </row>
    <row r="9" spans="1:24" s="92" customFormat="1">
      <c r="A9" s="75"/>
      <c r="B9" s="75"/>
      <c r="C9" s="75"/>
      <c r="D9" s="91" t="s">
        <v>244</v>
      </c>
      <c r="E9" s="51">
        <f>F9+L9</f>
        <v>79416649.925999999</v>
      </c>
      <c r="F9" s="51">
        <f>SUM(G9:K9)</f>
        <v>23263796</v>
      </c>
      <c r="G9" s="51">
        <f>G10+G48+G53+G150+G214+G234+G265+G316+G328+G356+G385+G412+G445+G457+G459+G463+G476+G483+G494+G505+G532</f>
        <v>15430875</v>
      </c>
      <c r="H9" s="51">
        <f>H10+H48+H53+H150+H214+H234+H265+H316+H328+H356+H385+H412+H445+H457+H459+H463+H476+H483+H494+H505+H532</f>
        <v>278900</v>
      </c>
      <c r="I9" s="51">
        <f>I10+I48+I53+I150+I214+I234+I265+I316+I328+I356+I385+I412+I445+I457+I459+I463+I476+I483+I494+I505+I532</f>
        <v>7082202</v>
      </c>
      <c r="J9" s="51">
        <f>J10+J48+J53+J150+J214+J234+J265+J316+J328+J356+J385+J412+J445+J457+J459+J463+J476+J483+J494+J505+J532</f>
        <v>274920</v>
      </c>
      <c r="K9" s="51">
        <f>K10+K48+K53+K150+K214+K234+K265+K316+K328+K356+K385+K412+K445+K457+K459+K463+K476+K483+K494+K505+K532</f>
        <v>196899</v>
      </c>
      <c r="L9" s="51">
        <f>SUM(M9:X9)</f>
        <v>56152853.925999999</v>
      </c>
      <c r="M9" s="51">
        <f t="shared" ref="M9:X9" si="0">M10+M48+M53+M150+M214+M234+M265+M316+M328+M356+M385+M412+M445+M457+M459+M463+M476+M483+M494+M505+M532</f>
        <v>10074309</v>
      </c>
      <c r="N9" s="51">
        <f t="shared" si="0"/>
        <v>2272786.9670000002</v>
      </c>
      <c r="O9" s="51">
        <f t="shared" si="0"/>
        <v>3586458</v>
      </c>
      <c r="P9" s="51">
        <f t="shared" si="0"/>
        <v>5182153.5</v>
      </c>
      <c r="Q9" s="51">
        <f t="shared" si="0"/>
        <v>5829500</v>
      </c>
      <c r="R9" s="51">
        <f t="shared" si="0"/>
        <v>3076112.4730000002</v>
      </c>
      <c r="S9" s="51">
        <f t="shared" si="0"/>
        <v>5178409.6459999997</v>
      </c>
      <c r="T9" s="51">
        <f t="shared" si="0"/>
        <v>3654840.3</v>
      </c>
      <c r="U9" s="51">
        <f t="shared" si="0"/>
        <v>6003811.04</v>
      </c>
      <c r="V9" s="51">
        <f t="shared" si="0"/>
        <v>3662767</v>
      </c>
      <c r="W9" s="51">
        <f t="shared" si="0"/>
        <v>2615205</v>
      </c>
      <c r="X9" s="51">
        <f t="shared" si="0"/>
        <v>5016501</v>
      </c>
    </row>
    <row r="10" spans="1:24" s="35" customFormat="1" ht="42" hidden="1">
      <c r="A10" s="93">
        <v>1</v>
      </c>
      <c r="B10" s="94" t="s">
        <v>34</v>
      </c>
      <c r="C10" s="94"/>
      <c r="D10" s="95" t="s">
        <v>243</v>
      </c>
      <c r="E10" s="51">
        <f t="shared" ref="E10:E73" si="1">F10+L10</f>
        <v>13192184.573000001</v>
      </c>
      <c r="F10" s="51">
        <f t="shared" ref="F10:F73" si="2">SUM(G10:K10)</f>
        <v>1313850</v>
      </c>
      <c r="G10" s="96">
        <f>G11+G24+G36+G48</f>
        <v>1313850</v>
      </c>
      <c r="H10" s="96">
        <f t="shared" ref="H10:X10" si="3">H11+H24+H36+H48</f>
        <v>0</v>
      </c>
      <c r="I10" s="96">
        <f t="shared" si="3"/>
        <v>0</v>
      </c>
      <c r="J10" s="96">
        <f t="shared" si="3"/>
        <v>0</v>
      </c>
      <c r="K10" s="96">
        <f t="shared" si="3"/>
        <v>0</v>
      </c>
      <c r="L10" s="51">
        <f t="shared" ref="L10:L73" si="4">SUM(M10:X10)</f>
        <v>11878334.573000001</v>
      </c>
      <c r="M10" s="96">
        <f t="shared" si="3"/>
        <v>3563495</v>
      </c>
      <c r="N10" s="96">
        <f t="shared" si="3"/>
        <v>317028</v>
      </c>
      <c r="O10" s="96">
        <f t="shared" si="3"/>
        <v>846490</v>
      </c>
      <c r="P10" s="96">
        <f t="shared" si="3"/>
        <v>811754</v>
      </c>
      <c r="Q10" s="96">
        <f t="shared" si="3"/>
        <v>1283682</v>
      </c>
      <c r="R10" s="96">
        <f t="shared" si="3"/>
        <v>661822.27300000004</v>
      </c>
      <c r="S10" s="96">
        <f t="shared" si="3"/>
        <v>918664</v>
      </c>
      <c r="T10" s="96">
        <f t="shared" si="3"/>
        <v>613549.30000000005</v>
      </c>
      <c r="U10" s="96">
        <f t="shared" si="3"/>
        <v>759600</v>
      </c>
      <c r="V10" s="96">
        <f t="shared" si="3"/>
        <v>1271610</v>
      </c>
      <c r="W10" s="96">
        <f t="shared" si="3"/>
        <v>113280</v>
      </c>
      <c r="X10" s="96">
        <f t="shared" si="3"/>
        <v>717360</v>
      </c>
    </row>
    <row r="11" spans="1:24" s="3" customFormat="1" ht="21" hidden="1">
      <c r="A11" s="97" t="s">
        <v>578</v>
      </c>
      <c r="B11" s="98" t="s">
        <v>34</v>
      </c>
      <c r="C11" s="98"/>
      <c r="D11" s="99" t="s">
        <v>305</v>
      </c>
      <c r="E11" s="100">
        <f t="shared" si="1"/>
        <v>2954948.1229999997</v>
      </c>
      <c r="F11" s="100">
        <f t="shared" si="2"/>
        <v>517600</v>
      </c>
      <c r="G11" s="101">
        <f>SUM(G12:G23)</f>
        <v>517600</v>
      </c>
      <c r="H11" s="101">
        <f t="shared" ref="H11:X11" si="5">SUM(H12:H23)</f>
        <v>0</v>
      </c>
      <c r="I11" s="101">
        <f t="shared" si="5"/>
        <v>0</v>
      </c>
      <c r="J11" s="101">
        <f t="shared" si="5"/>
        <v>0</v>
      </c>
      <c r="K11" s="101">
        <f t="shared" si="5"/>
        <v>0</v>
      </c>
      <c r="L11" s="100">
        <f t="shared" si="4"/>
        <v>2437348.1229999997</v>
      </c>
      <c r="M11" s="101">
        <f t="shared" si="5"/>
        <v>224692</v>
      </c>
      <c r="N11" s="101">
        <f t="shared" si="5"/>
        <v>164778</v>
      </c>
      <c r="O11" s="101">
        <f t="shared" si="5"/>
        <v>54610</v>
      </c>
      <c r="P11" s="101">
        <f t="shared" si="5"/>
        <v>406050</v>
      </c>
      <c r="Q11" s="101">
        <f t="shared" si="5"/>
        <v>114756</v>
      </c>
      <c r="R11" s="101">
        <f t="shared" si="5"/>
        <v>88489.122999999992</v>
      </c>
      <c r="S11" s="101">
        <f t="shared" si="5"/>
        <v>310180</v>
      </c>
      <c r="T11" s="101">
        <f t="shared" si="5"/>
        <v>140143</v>
      </c>
      <c r="U11" s="101">
        <f t="shared" si="5"/>
        <v>345800</v>
      </c>
      <c r="V11" s="101">
        <f t="shared" si="5"/>
        <v>145810</v>
      </c>
      <c r="W11" s="101">
        <f t="shared" si="5"/>
        <v>113280</v>
      </c>
      <c r="X11" s="101">
        <f t="shared" si="5"/>
        <v>328760</v>
      </c>
    </row>
    <row r="12" spans="1:24" s="4" customFormat="1" ht="22.5" hidden="1">
      <c r="A12" s="102">
        <v>1.1000000000000001</v>
      </c>
      <c r="B12" s="103" t="s">
        <v>34</v>
      </c>
      <c r="C12" s="103"/>
      <c r="D12" s="104" t="s">
        <v>595</v>
      </c>
      <c r="E12" s="51">
        <f t="shared" si="1"/>
        <v>420370</v>
      </c>
      <c r="F12" s="51">
        <f t="shared" si="2"/>
        <v>200000</v>
      </c>
      <c r="G12" s="105">
        <v>200000</v>
      </c>
      <c r="H12" s="105"/>
      <c r="I12" s="105"/>
      <c r="J12" s="105"/>
      <c r="K12" s="105"/>
      <c r="L12" s="51">
        <f t="shared" si="4"/>
        <v>220370</v>
      </c>
      <c r="M12" s="105"/>
      <c r="N12" s="105">
        <v>12000</v>
      </c>
      <c r="O12" s="105">
        <v>8400</v>
      </c>
      <c r="P12" s="105">
        <v>7040</v>
      </c>
      <c r="Q12" s="105"/>
      <c r="R12" s="105"/>
      <c r="S12" s="105">
        <v>10400</v>
      </c>
      <c r="T12" s="105">
        <v>13160</v>
      </c>
      <c r="U12" s="105">
        <v>10000</v>
      </c>
      <c r="V12" s="105">
        <v>11430</v>
      </c>
      <c r="W12" s="105">
        <v>63680</v>
      </c>
      <c r="X12" s="105">
        <v>84260</v>
      </c>
    </row>
    <row r="13" spans="1:24" s="4" customFormat="1" ht="22.5" hidden="1">
      <c r="A13" s="102">
        <v>1.2</v>
      </c>
      <c r="B13" s="103" t="s">
        <v>34</v>
      </c>
      <c r="C13" s="103"/>
      <c r="D13" s="106" t="s">
        <v>186</v>
      </c>
      <c r="E13" s="51">
        <f t="shared" si="1"/>
        <v>508266.12300000002</v>
      </c>
      <c r="F13" s="51">
        <f t="shared" si="2"/>
        <v>16000</v>
      </c>
      <c r="G13" s="107">
        <v>16000</v>
      </c>
      <c r="H13" s="107"/>
      <c r="I13" s="107"/>
      <c r="J13" s="107"/>
      <c r="K13" s="107"/>
      <c r="L13" s="51">
        <f t="shared" si="4"/>
        <v>492266.12300000002</v>
      </c>
      <c r="M13" s="107">
        <v>80560</v>
      </c>
      <c r="N13" s="107">
        <v>6500</v>
      </c>
      <c r="O13" s="107">
        <v>4800</v>
      </c>
      <c r="P13" s="107">
        <v>53130</v>
      </c>
      <c r="Q13" s="107">
        <v>6736</v>
      </c>
      <c r="R13" s="108">
        <v>1280.123</v>
      </c>
      <c r="S13" s="107">
        <v>42500</v>
      </c>
      <c r="T13" s="107">
        <v>55840</v>
      </c>
      <c r="U13" s="107">
        <v>215000</v>
      </c>
      <c r="V13" s="107">
        <v>25920</v>
      </c>
      <c r="W13" s="107"/>
      <c r="X13" s="107"/>
    </row>
    <row r="14" spans="1:24" s="4" customFormat="1" ht="33.75" hidden="1">
      <c r="A14" s="102">
        <v>1.3</v>
      </c>
      <c r="B14" s="103" t="s">
        <v>34</v>
      </c>
      <c r="C14" s="103"/>
      <c r="D14" s="106" t="s">
        <v>306</v>
      </c>
      <c r="E14" s="51">
        <f t="shared" si="1"/>
        <v>262348</v>
      </c>
      <c r="F14" s="51">
        <f t="shared" si="2"/>
        <v>24000</v>
      </c>
      <c r="G14" s="107">
        <v>24000</v>
      </c>
      <c r="H14" s="107"/>
      <c r="I14" s="107"/>
      <c r="J14" s="107"/>
      <c r="K14" s="107"/>
      <c r="L14" s="51">
        <f t="shared" si="4"/>
        <v>238348</v>
      </c>
      <c r="M14" s="107">
        <v>45600</v>
      </c>
      <c r="N14" s="107">
        <v>20000</v>
      </c>
      <c r="O14" s="107">
        <v>3520</v>
      </c>
      <c r="P14" s="107">
        <v>44400</v>
      </c>
      <c r="Q14" s="107">
        <v>2500</v>
      </c>
      <c r="R14" s="107">
        <v>1500</v>
      </c>
      <c r="S14" s="107">
        <v>8200</v>
      </c>
      <c r="T14" s="107">
        <v>33648</v>
      </c>
      <c r="U14" s="107">
        <v>25800</v>
      </c>
      <c r="V14" s="107">
        <v>5960</v>
      </c>
      <c r="W14" s="107">
        <v>9600</v>
      </c>
      <c r="X14" s="107">
        <v>37620</v>
      </c>
    </row>
    <row r="15" spans="1:24" s="4" customFormat="1" ht="22.5" hidden="1">
      <c r="A15" s="102">
        <v>1.4</v>
      </c>
      <c r="B15" s="103" t="s">
        <v>34</v>
      </c>
      <c r="C15" s="103"/>
      <c r="D15" s="106" t="s">
        <v>187</v>
      </c>
      <c r="E15" s="51">
        <f t="shared" si="1"/>
        <v>42970</v>
      </c>
      <c r="F15" s="51">
        <f t="shared" si="2"/>
        <v>0</v>
      </c>
      <c r="G15" s="107"/>
      <c r="H15" s="107"/>
      <c r="I15" s="107"/>
      <c r="J15" s="107"/>
      <c r="K15" s="107"/>
      <c r="L15" s="51">
        <f t="shared" si="4"/>
        <v>42970</v>
      </c>
      <c r="M15" s="107">
        <v>500</v>
      </c>
      <c r="N15" s="107"/>
      <c r="O15" s="107">
        <v>330</v>
      </c>
      <c r="P15" s="107">
        <v>1680</v>
      </c>
      <c r="Q15" s="107">
        <v>2000</v>
      </c>
      <c r="R15" s="107">
        <v>2000</v>
      </c>
      <c r="S15" s="107">
        <v>9800</v>
      </c>
      <c r="T15" s="107">
        <v>660</v>
      </c>
      <c r="U15" s="107">
        <v>15000</v>
      </c>
      <c r="V15" s="107">
        <v>3000</v>
      </c>
      <c r="W15" s="107">
        <v>4000</v>
      </c>
      <c r="X15" s="107">
        <v>4000</v>
      </c>
    </row>
    <row r="16" spans="1:24" s="4" customFormat="1" hidden="1">
      <c r="A16" s="102">
        <v>1.5</v>
      </c>
      <c r="B16" s="103" t="s">
        <v>34</v>
      </c>
      <c r="C16" s="103"/>
      <c r="D16" s="106" t="s">
        <v>188</v>
      </c>
      <c r="E16" s="51">
        <f t="shared" si="1"/>
        <v>89202</v>
      </c>
      <c r="F16" s="51">
        <f t="shared" si="2"/>
        <v>12000</v>
      </c>
      <c r="G16" s="107">
        <v>12000</v>
      </c>
      <c r="H16" s="107"/>
      <c r="I16" s="107"/>
      <c r="J16" s="107"/>
      <c r="K16" s="107"/>
      <c r="L16" s="51">
        <f t="shared" si="4"/>
        <v>77202</v>
      </c>
      <c r="M16" s="107">
        <v>702</v>
      </c>
      <c r="N16" s="107">
        <v>10000</v>
      </c>
      <c r="O16" s="107">
        <v>10000</v>
      </c>
      <c r="P16" s="107">
        <v>30000</v>
      </c>
      <c r="Q16" s="107">
        <v>3000</v>
      </c>
      <c r="R16" s="107"/>
      <c r="S16" s="107">
        <v>2500</v>
      </c>
      <c r="T16" s="107"/>
      <c r="U16" s="107"/>
      <c r="V16" s="107">
        <v>5000</v>
      </c>
      <c r="W16" s="107"/>
      <c r="X16" s="107">
        <v>16000</v>
      </c>
    </row>
    <row r="17" spans="1:24" s="4" customFormat="1" ht="22.5" hidden="1">
      <c r="A17" s="102">
        <v>1.6</v>
      </c>
      <c r="B17" s="103" t="s">
        <v>34</v>
      </c>
      <c r="C17" s="103"/>
      <c r="D17" s="109" t="s">
        <v>207</v>
      </c>
      <c r="E17" s="51">
        <f t="shared" si="1"/>
        <v>54000</v>
      </c>
      <c r="F17" s="51">
        <f t="shared" si="2"/>
        <v>0</v>
      </c>
      <c r="G17" s="110"/>
      <c r="H17" s="110"/>
      <c r="I17" s="110"/>
      <c r="J17" s="110"/>
      <c r="K17" s="110"/>
      <c r="L17" s="51">
        <f t="shared" si="4"/>
        <v>54000</v>
      </c>
      <c r="M17" s="111"/>
      <c r="N17" s="112"/>
      <c r="O17" s="113">
        <v>5000</v>
      </c>
      <c r="P17" s="113">
        <v>10000</v>
      </c>
      <c r="Q17" s="114"/>
      <c r="R17" s="113">
        <v>9000</v>
      </c>
      <c r="S17" s="115">
        <v>20000</v>
      </c>
      <c r="T17" s="113">
        <v>10000</v>
      </c>
      <c r="U17" s="116"/>
      <c r="V17" s="113"/>
      <c r="W17" s="113"/>
      <c r="X17" s="117"/>
    </row>
    <row r="18" spans="1:24" s="4" customFormat="1" hidden="1">
      <c r="A18" s="102">
        <v>1.7</v>
      </c>
      <c r="B18" s="103" t="s">
        <v>34</v>
      </c>
      <c r="C18" s="103"/>
      <c r="D18" s="106" t="s">
        <v>189</v>
      </c>
      <c r="E18" s="51">
        <f t="shared" si="1"/>
        <v>332680</v>
      </c>
      <c r="F18" s="51">
        <f t="shared" si="2"/>
        <v>0</v>
      </c>
      <c r="G18" s="107"/>
      <c r="H18" s="107"/>
      <c r="I18" s="107"/>
      <c r="J18" s="107"/>
      <c r="K18" s="107"/>
      <c r="L18" s="51">
        <f t="shared" si="4"/>
        <v>332680</v>
      </c>
      <c r="M18" s="107"/>
      <c r="N18" s="107">
        <v>4500</v>
      </c>
      <c r="O18" s="107">
        <v>8400</v>
      </c>
      <c r="P18" s="107">
        <v>105000</v>
      </c>
      <c r="Q18" s="107"/>
      <c r="R18" s="107">
        <v>30000</v>
      </c>
      <c r="S18" s="107">
        <v>83580</v>
      </c>
      <c r="T18" s="107"/>
      <c r="U18" s="107"/>
      <c r="V18" s="107">
        <v>22000</v>
      </c>
      <c r="W18" s="107">
        <v>36000</v>
      </c>
      <c r="X18" s="107">
        <v>43200</v>
      </c>
    </row>
    <row r="19" spans="1:24" s="4" customFormat="1" hidden="1">
      <c r="A19" s="102">
        <v>1.8</v>
      </c>
      <c r="B19" s="103" t="s">
        <v>34</v>
      </c>
      <c r="C19" s="103"/>
      <c r="D19" s="106" t="s">
        <v>216</v>
      </c>
      <c r="E19" s="51">
        <f t="shared" si="1"/>
        <v>191300</v>
      </c>
      <c r="F19" s="51">
        <f t="shared" si="2"/>
        <v>0</v>
      </c>
      <c r="G19" s="107"/>
      <c r="H19" s="107"/>
      <c r="I19" s="107"/>
      <c r="J19" s="107"/>
      <c r="K19" s="107"/>
      <c r="L19" s="51">
        <f t="shared" si="4"/>
        <v>191300</v>
      </c>
      <c r="M19" s="107">
        <v>19600</v>
      </c>
      <c r="N19" s="107">
        <v>3500</v>
      </c>
      <c r="O19" s="107">
        <v>10000</v>
      </c>
      <c r="P19" s="107">
        <v>100000</v>
      </c>
      <c r="Q19" s="107">
        <v>45000</v>
      </c>
      <c r="R19" s="107">
        <v>7200</v>
      </c>
      <c r="S19" s="107"/>
      <c r="T19" s="107">
        <v>6000</v>
      </c>
      <c r="U19" s="107"/>
      <c r="V19" s="107"/>
      <c r="W19" s="107"/>
      <c r="X19" s="107"/>
    </row>
    <row r="20" spans="1:24" s="1" customFormat="1" ht="22.5" hidden="1">
      <c r="A20" s="102">
        <v>1.9</v>
      </c>
      <c r="B20" s="103" t="s">
        <v>34</v>
      </c>
      <c r="C20" s="103"/>
      <c r="D20" s="106" t="s">
        <v>217</v>
      </c>
      <c r="E20" s="51">
        <f t="shared" si="1"/>
        <v>118480</v>
      </c>
      <c r="F20" s="51">
        <f t="shared" si="2"/>
        <v>0</v>
      </c>
      <c r="G20" s="107"/>
      <c r="H20" s="107"/>
      <c r="I20" s="107"/>
      <c r="J20" s="107"/>
      <c r="K20" s="107"/>
      <c r="L20" s="51">
        <f t="shared" si="4"/>
        <v>118480</v>
      </c>
      <c r="M20" s="107"/>
      <c r="N20" s="107"/>
      <c r="O20" s="107">
        <v>4160</v>
      </c>
      <c r="P20" s="107">
        <v>20800</v>
      </c>
      <c r="Q20" s="107">
        <v>13520</v>
      </c>
      <c r="R20" s="107"/>
      <c r="S20" s="107"/>
      <c r="T20" s="107"/>
      <c r="U20" s="107">
        <v>80000</v>
      </c>
      <c r="V20" s="107"/>
      <c r="W20" s="107"/>
      <c r="X20" s="107"/>
    </row>
    <row r="21" spans="1:24" ht="22.5" hidden="1">
      <c r="A21" s="102">
        <v>1.1000000000000001</v>
      </c>
      <c r="B21" s="103" t="s">
        <v>34</v>
      </c>
      <c r="C21" s="103"/>
      <c r="D21" s="106" t="s">
        <v>508</v>
      </c>
      <c r="E21" s="51">
        <f t="shared" si="1"/>
        <v>820352</v>
      </c>
      <c r="F21" s="51">
        <f t="shared" si="2"/>
        <v>211600</v>
      </c>
      <c r="G21" s="107">
        <v>211600</v>
      </c>
      <c r="H21" s="107"/>
      <c r="I21" s="107"/>
      <c r="J21" s="107"/>
      <c r="K21" s="107"/>
      <c r="L21" s="51">
        <f t="shared" si="4"/>
        <v>608752</v>
      </c>
      <c r="M21" s="107">
        <v>77730</v>
      </c>
      <c r="N21" s="107">
        <v>108278</v>
      </c>
      <c r="O21" s="107"/>
      <c r="P21" s="107">
        <v>34000</v>
      </c>
      <c r="Q21" s="107">
        <v>42000</v>
      </c>
      <c r="R21" s="107">
        <v>37509</v>
      </c>
      <c r="S21" s="107">
        <v>92200</v>
      </c>
      <c r="T21" s="107">
        <v>20835</v>
      </c>
      <c r="U21" s="107"/>
      <c r="V21" s="107">
        <v>62500</v>
      </c>
      <c r="W21" s="107"/>
      <c r="X21" s="107">
        <v>133700</v>
      </c>
    </row>
    <row r="22" spans="1:24" ht="33.75" hidden="1">
      <c r="A22" s="102">
        <v>1.17</v>
      </c>
      <c r="B22" s="103" t="s">
        <v>34</v>
      </c>
      <c r="C22" s="103"/>
      <c r="D22" s="106" t="s">
        <v>509</v>
      </c>
      <c r="E22" s="51">
        <f t="shared" si="1"/>
        <v>72480</v>
      </c>
      <c r="F22" s="51">
        <f t="shared" si="2"/>
        <v>50000</v>
      </c>
      <c r="G22" s="107">
        <v>50000</v>
      </c>
      <c r="H22" s="107"/>
      <c r="I22" s="107"/>
      <c r="J22" s="107"/>
      <c r="K22" s="107"/>
      <c r="L22" s="51">
        <f t="shared" si="4"/>
        <v>22480</v>
      </c>
      <c r="M22" s="107"/>
      <c r="N22" s="107"/>
      <c r="O22" s="107"/>
      <c r="P22" s="107"/>
      <c r="Q22" s="107"/>
      <c r="R22" s="107"/>
      <c r="S22" s="107">
        <v>2500</v>
      </c>
      <c r="T22" s="107"/>
      <c r="U22" s="107"/>
      <c r="V22" s="107">
        <v>10000</v>
      </c>
      <c r="W22" s="107"/>
      <c r="X22" s="107">
        <v>9980</v>
      </c>
    </row>
    <row r="23" spans="1:24" ht="33.75" hidden="1">
      <c r="A23" s="102">
        <v>1.18</v>
      </c>
      <c r="B23" s="103" t="s">
        <v>34</v>
      </c>
      <c r="C23" s="103" t="s">
        <v>597</v>
      </c>
      <c r="D23" s="106" t="s">
        <v>596</v>
      </c>
      <c r="E23" s="51">
        <f t="shared" si="1"/>
        <v>42500</v>
      </c>
      <c r="F23" s="51">
        <f t="shared" si="2"/>
        <v>4000</v>
      </c>
      <c r="G23" s="107">
        <v>4000</v>
      </c>
      <c r="H23" s="107"/>
      <c r="I23" s="107"/>
      <c r="J23" s="107"/>
      <c r="K23" s="107"/>
      <c r="L23" s="51">
        <f t="shared" si="4"/>
        <v>38500</v>
      </c>
      <c r="M23" s="107"/>
      <c r="N23" s="107"/>
      <c r="O23" s="107"/>
      <c r="P23" s="107"/>
      <c r="Q23" s="107"/>
      <c r="R23" s="107"/>
      <c r="S23" s="107">
        <v>38500</v>
      </c>
      <c r="T23" s="107"/>
      <c r="U23" s="107"/>
      <c r="V23" s="107"/>
      <c r="W23" s="107"/>
      <c r="X23" s="107"/>
    </row>
    <row r="24" spans="1:24" s="44" customFormat="1" ht="21" hidden="1">
      <c r="A24" s="97" t="s">
        <v>579</v>
      </c>
      <c r="B24" s="98" t="s">
        <v>34</v>
      </c>
      <c r="C24" s="98"/>
      <c r="D24" s="99" t="s">
        <v>511</v>
      </c>
      <c r="E24" s="100">
        <f t="shared" si="1"/>
        <v>9865770.4499999993</v>
      </c>
      <c r="F24" s="100">
        <f t="shared" si="2"/>
        <v>638850</v>
      </c>
      <c r="G24" s="101">
        <f>SUM(G25:G35)</f>
        <v>638850</v>
      </c>
      <c r="H24" s="101">
        <f t="shared" ref="H24:X24" si="6">SUM(H25:H35)</f>
        <v>0</v>
      </c>
      <c r="I24" s="101">
        <f t="shared" si="6"/>
        <v>0</v>
      </c>
      <c r="J24" s="101">
        <f t="shared" si="6"/>
        <v>0</v>
      </c>
      <c r="K24" s="101">
        <f t="shared" si="6"/>
        <v>0</v>
      </c>
      <c r="L24" s="100">
        <f t="shared" si="4"/>
        <v>9226920.4499999993</v>
      </c>
      <c r="M24" s="101">
        <f t="shared" si="6"/>
        <v>3309523</v>
      </c>
      <c r="N24" s="101">
        <f t="shared" si="6"/>
        <v>137750</v>
      </c>
      <c r="O24" s="101">
        <f t="shared" si="6"/>
        <v>784800</v>
      </c>
      <c r="P24" s="101">
        <f t="shared" si="6"/>
        <v>405704</v>
      </c>
      <c r="Q24" s="101">
        <f t="shared" si="6"/>
        <v>1005720</v>
      </c>
      <c r="R24" s="101">
        <f t="shared" si="6"/>
        <v>573333.15</v>
      </c>
      <c r="S24" s="101">
        <f t="shared" si="6"/>
        <v>608484</v>
      </c>
      <c r="T24" s="101">
        <f t="shared" si="6"/>
        <v>473406.3</v>
      </c>
      <c r="U24" s="101">
        <f t="shared" si="6"/>
        <v>413800</v>
      </c>
      <c r="V24" s="101">
        <f t="shared" si="6"/>
        <v>1125800</v>
      </c>
      <c r="W24" s="101">
        <f t="shared" si="6"/>
        <v>0</v>
      </c>
      <c r="X24" s="101">
        <f t="shared" si="6"/>
        <v>388600</v>
      </c>
    </row>
    <row r="25" spans="1:24" s="34" customFormat="1" ht="22.5" hidden="1">
      <c r="A25" s="102">
        <v>2.1</v>
      </c>
      <c r="B25" s="103" t="s">
        <v>34</v>
      </c>
      <c r="C25" s="103"/>
      <c r="D25" s="106" t="s">
        <v>293</v>
      </c>
      <c r="E25" s="51">
        <f t="shared" si="1"/>
        <v>1038360</v>
      </c>
      <c r="F25" s="51">
        <f t="shared" si="2"/>
        <v>20000</v>
      </c>
      <c r="G25" s="107">
        <v>20000</v>
      </c>
      <c r="H25" s="107"/>
      <c r="I25" s="107"/>
      <c r="J25" s="107"/>
      <c r="K25" s="107"/>
      <c r="L25" s="51">
        <f t="shared" si="4"/>
        <v>1018360</v>
      </c>
      <c r="M25" s="107">
        <v>702000</v>
      </c>
      <c r="N25" s="107">
        <v>25000</v>
      </c>
      <c r="O25" s="107"/>
      <c r="P25" s="107">
        <v>7040</v>
      </c>
      <c r="Q25" s="107"/>
      <c r="R25" s="107">
        <v>3000</v>
      </c>
      <c r="S25" s="107">
        <v>14240</v>
      </c>
      <c r="T25" s="107">
        <v>17080</v>
      </c>
      <c r="U25" s="107"/>
      <c r="V25" s="107">
        <v>250000</v>
      </c>
      <c r="W25" s="107"/>
      <c r="X25" s="107"/>
    </row>
    <row r="26" spans="1:24" s="34" customFormat="1" hidden="1">
      <c r="A26" s="102">
        <v>2.2999999999999998</v>
      </c>
      <c r="B26" s="103" t="s">
        <v>34</v>
      </c>
      <c r="C26" s="103"/>
      <c r="D26" s="106" t="s">
        <v>188</v>
      </c>
      <c r="E26" s="51">
        <f t="shared" si="1"/>
        <v>39500</v>
      </c>
      <c r="F26" s="51">
        <f t="shared" si="2"/>
        <v>0</v>
      </c>
      <c r="G26" s="107">
        <v>0</v>
      </c>
      <c r="H26" s="107"/>
      <c r="I26" s="107"/>
      <c r="J26" s="107"/>
      <c r="K26" s="107"/>
      <c r="L26" s="51">
        <f t="shared" si="4"/>
        <v>39500</v>
      </c>
      <c r="M26" s="107"/>
      <c r="N26" s="107">
        <v>5000</v>
      </c>
      <c r="O26" s="107"/>
      <c r="P26" s="107">
        <v>10000</v>
      </c>
      <c r="Q26" s="107"/>
      <c r="R26" s="107">
        <v>4000</v>
      </c>
      <c r="S26" s="107">
        <v>2500</v>
      </c>
      <c r="T26" s="107">
        <v>13000</v>
      </c>
      <c r="U26" s="107"/>
      <c r="V26" s="107">
        <v>5000</v>
      </c>
      <c r="W26" s="107"/>
      <c r="X26" s="107"/>
    </row>
    <row r="27" spans="1:24" s="34" customFormat="1" ht="33.75" hidden="1">
      <c r="A27" s="102">
        <v>2.4</v>
      </c>
      <c r="B27" s="103" t="s">
        <v>34</v>
      </c>
      <c r="C27" s="103"/>
      <c r="D27" s="106" t="s">
        <v>598</v>
      </c>
      <c r="E27" s="51">
        <f t="shared" si="1"/>
        <v>2739797.45</v>
      </c>
      <c r="F27" s="51">
        <f t="shared" si="2"/>
        <v>211600</v>
      </c>
      <c r="G27" s="107">
        <v>211600</v>
      </c>
      <c r="H27" s="107"/>
      <c r="I27" s="107"/>
      <c r="J27" s="107"/>
      <c r="K27" s="107"/>
      <c r="L27" s="51">
        <f t="shared" si="4"/>
        <v>2528197.4500000002</v>
      </c>
      <c r="M27" s="107">
        <v>395880</v>
      </c>
      <c r="N27" s="107">
        <v>107750</v>
      </c>
      <c r="O27" s="107">
        <v>448200</v>
      </c>
      <c r="P27" s="107">
        <v>82064</v>
      </c>
      <c r="Q27" s="107">
        <v>111000</v>
      </c>
      <c r="R27" s="108">
        <v>241733.15</v>
      </c>
      <c r="S27" s="107">
        <v>285144</v>
      </c>
      <c r="T27" s="118">
        <v>111826.3</v>
      </c>
      <c r="U27" s="107">
        <v>107200</v>
      </c>
      <c r="V27" s="107">
        <v>555400</v>
      </c>
      <c r="W27" s="107"/>
      <c r="X27" s="107">
        <v>82000</v>
      </c>
    </row>
    <row r="28" spans="1:24" s="34" customFormat="1" hidden="1">
      <c r="A28" s="102">
        <v>2.5</v>
      </c>
      <c r="B28" s="103" t="s">
        <v>34</v>
      </c>
      <c r="C28" s="103"/>
      <c r="D28" s="106" t="s">
        <v>292</v>
      </c>
      <c r="E28" s="51">
        <f t="shared" si="1"/>
        <v>30000</v>
      </c>
      <c r="F28" s="51">
        <f t="shared" si="2"/>
        <v>0</v>
      </c>
      <c r="G28" s="107"/>
      <c r="H28" s="107"/>
      <c r="I28" s="107"/>
      <c r="J28" s="107"/>
      <c r="K28" s="107"/>
      <c r="L28" s="51">
        <f t="shared" si="4"/>
        <v>30000</v>
      </c>
      <c r="M28" s="107"/>
      <c r="N28" s="107"/>
      <c r="O28" s="107">
        <v>30000</v>
      </c>
      <c r="P28" s="107"/>
      <c r="Q28" s="107"/>
      <c r="R28" s="107"/>
      <c r="S28" s="107"/>
      <c r="T28" s="107"/>
      <c r="U28" s="107"/>
      <c r="V28" s="107"/>
      <c r="W28" s="107"/>
      <c r="X28" s="107"/>
    </row>
    <row r="29" spans="1:24" s="34" customFormat="1" ht="33.75" hidden="1">
      <c r="A29" s="102">
        <v>2.7</v>
      </c>
      <c r="B29" s="103" t="s">
        <v>34</v>
      </c>
      <c r="C29" s="103"/>
      <c r="D29" s="106" t="s">
        <v>513</v>
      </c>
      <c r="E29" s="51">
        <f t="shared" si="1"/>
        <v>36000</v>
      </c>
      <c r="F29" s="51">
        <f t="shared" si="2"/>
        <v>0</v>
      </c>
      <c r="G29" s="107"/>
      <c r="H29" s="107"/>
      <c r="I29" s="107"/>
      <c r="J29" s="107"/>
      <c r="K29" s="107"/>
      <c r="L29" s="51">
        <f t="shared" si="4"/>
        <v>36000</v>
      </c>
      <c r="M29" s="107">
        <v>36000</v>
      </c>
      <c r="N29" s="107"/>
      <c r="O29" s="107"/>
      <c r="P29" s="107"/>
      <c r="Q29" s="107"/>
      <c r="R29" s="107"/>
      <c r="S29" s="107"/>
      <c r="T29" s="107"/>
      <c r="U29" s="107"/>
      <c r="V29" s="107"/>
      <c r="W29" s="107"/>
      <c r="X29" s="107"/>
    </row>
    <row r="30" spans="1:24" s="34" customFormat="1" ht="22.5" hidden="1">
      <c r="A30" s="102">
        <v>2.9</v>
      </c>
      <c r="B30" s="103" t="s">
        <v>34</v>
      </c>
      <c r="C30" s="103"/>
      <c r="D30" s="106" t="s">
        <v>514</v>
      </c>
      <c r="E30" s="51">
        <f t="shared" si="1"/>
        <v>73940</v>
      </c>
      <c r="F30" s="51">
        <f t="shared" si="2"/>
        <v>0</v>
      </c>
      <c r="G30" s="107"/>
      <c r="H30" s="107"/>
      <c r="I30" s="107"/>
      <c r="J30" s="107"/>
      <c r="K30" s="107"/>
      <c r="L30" s="51">
        <f t="shared" si="4"/>
        <v>73940</v>
      </c>
      <c r="M30" s="107">
        <v>45080</v>
      </c>
      <c r="N30" s="107"/>
      <c r="O30" s="107"/>
      <c r="P30" s="107"/>
      <c r="Q30" s="107"/>
      <c r="R30" s="107"/>
      <c r="S30" s="107"/>
      <c r="T30" s="107">
        <v>28860</v>
      </c>
      <c r="U30" s="107"/>
      <c r="V30" s="107"/>
      <c r="W30" s="107"/>
      <c r="X30" s="107"/>
    </row>
    <row r="31" spans="1:24" s="34" customFormat="1" hidden="1">
      <c r="A31" s="102">
        <v>2.1</v>
      </c>
      <c r="B31" s="103" t="s">
        <v>34</v>
      </c>
      <c r="C31" s="103"/>
      <c r="D31" s="106" t="s">
        <v>515</v>
      </c>
      <c r="E31" s="51">
        <f t="shared" si="1"/>
        <v>26913</v>
      </c>
      <c r="F31" s="51">
        <f t="shared" si="2"/>
        <v>0</v>
      </c>
      <c r="G31" s="107"/>
      <c r="H31" s="107"/>
      <c r="I31" s="107"/>
      <c r="J31" s="107"/>
      <c r="K31" s="107"/>
      <c r="L31" s="51">
        <f t="shared" si="4"/>
        <v>26913</v>
      </c>
      <c r="M31" s="107">
        <v>26913</v>
      </c>
      <c r="N31" s="107"/>
      <c r="O31" s="107"/>
      <c r="P31" s="107"/>
      <c r="Q31" s="107"/>
      <c r="R31" s="107"/>
      <c r="S31" s="107"/>
      <c r="T31" s="107"/>
      <c r="U31" s="107"/>
      <c r="V31" s="107"/>
      <c r="W31" s="107"/>
      <c r="X31" s="107"/>
    </row>
    <row r="32" spans="1:24" s="34" customFormat="1" ht="22.5" hidden="1">
      <c r="A32" s="102">
        <v>2.11</v>
      </c>
      <c r="B32" s="103" t="s">
        <v>34</v>
      </c>
      <c r="C32" s="103"/>
      <c r="D32" s="106" t="s">
        <v>516</v>
      </c>
      <c r="E32" s="51">
        <f t="shared" si="1"/>
        <v>912000</v>
      </c>
      <c r="F32" s="51">
        <f t="shared" si="2"/>
        <v>24000</v>
      </c>
      <c r="G32" s="107">
        <v>24000</v>
      </c>
      <c r="H32" s="107"/>
      <c r="I32" s="107"/>
      <c r="J32" s="107"/>
      <c r="K32" s="107"/>
      <c r="L32" s="51">
        <f t="shared" si="4"/>
        <v>888000</v>
      </c>
      <c r="M32" s="107">
        <v>474000</v>
      </c>
      <c r="N32" s="107"/>
      <c r="O32" s="107"/>
      <c r="P32" s="107"/>
      <c r="Q32" s="107">
        <v>300000</v>
      </c>
      <c r="R32" s="107">
        <v>18000</v>
      </c>
      <c r="S32" s="107"/>
      <c r="T32" s="107">
        <v>96000</v>
      </c>
      <c r="U32" s="107"/>
      <c r="V32" s="107"/>
      <c r="W32" s="107"/>
      <c r="X32" s="107"/>
    </row>
    <row r="33" spans="1:24" s="34" customFormat="1" ht="22.5" hidden="1">
      <c r="A33" s="102">
        <v>2.12</v>
      </c>
      <c r="B33" s="103" t="s">
        <v>34</v>
      </c>
      <c r="C33" s="103"/>
      <c r="D33" s="119" t="s">
        <v>517</v>
      </c>
      <c r="E33" s="51">
        <f t="shared" si="1"/>
        <v>4940460</v>
      </c>
      <c r="F33" s="51">
        <f t="shared" si="2"/>
        <v>383250</v>
      </c>
      <c r="G33" s="107">
        <v>383250</v>
      </c>
      <c r="H33" s="107"/>
      <c r="I33" s="107"/>
      <c r="J33" s="107"/>
      <c r="K33" s="107"/>
      <c r="L33" s="51">
        <f t="shared" si="4"/>
        <v>4557210</v>
      </c>
      <c r="M33" s="107">
        <v>1609650</v>
      </c>
      <c r="N33" s="107"/>
      <c r="O33" s="107">
        <v>306600</v>
      </c>
      <c r="P33" s="107">
        <v>306600</v>
      </c>
      <c r="Q33" s="107">
        <v>594720</v>
      </c>
      <c r="R33" s="107">
        <v>306600</v>
      </c>
      <c r="S33" s="107">
        <v>306600</v>
      </c>
      <c r="T33" s="107">
        <v>206640</v>
      </c>
      <c r="U33" s="107">
        <v>306600</v>
      </c>
      <c r="V33" s="107">
        <v>306600</v>
      </c>
      <c r="W33" s="107"/>
      <c r="X33" s="107">
        <v>306600</v>
      </c>
    </row>
    <row r="34" spans="1:24" s="34" customFormat="1" ht="33.75" hidden="1">
      <c r="A34" s="102">
        <v>2.13</v>
      </c>
      <c r="B34" s="103" t="s">
        <v>34</v>
      </c>
      <c r="C34" s="103"/>
      <c r="D34" s="119" t="s">
        <v>518</v>
      </c>
      <c r="E34" s="51">
        <f t="shared" si="1"/>
        <v>20000</v>
      </c>
      <c r="F34" s="51">
        <f t="shared" si="2"/>
        <v>0</v>
      </c>
      <c r="G34" s="107"/>
      <c r="H34" s="107"/>
      <c r="I34" s="107"/>
      <c r="J34" s="107"/>
      <c r="K34" s="107"/>
      <c r="L34" s="51">
        <f t="shared" si="4"/>
        <v>20000</v>
      </c>
      <c r="M34" s="107">
        <v>20000</v>
      </c>
      <c r="N34" s="107"/>
      <c r="O34" s="107"/>
      <c r="P34" s="107"/>
      <c r="Q34" s="107"/>
      <c r="R34" s="107"/>
      <c r="S34" s="107"/>
      <c r="T34" s="107"/>
      <c r="U34" s="107"/>
      <c r="V34" s="107"/>
      <c r="W34" s="107"/>
      <c r="X34" s="107"/>
    </row>
    <row r="35" spans="1:24" s="34" customFormat="1" hidden="1">
      <c r="A35" s="102">
        <v>2.14</v>
      </c>
      <c r="B35" s="103" t="s">
        <v>34</v>
      </c>
      <c r="C35" s="103" t="s">
        <v>599</v>
      </c>
      <c r="D35" s="558" t="s">
        <v>519</v>
      </c>
      <c r="E35" s="51">
        <f t="shared" si="1"/>
        <v>8800</v>
      </c>
      <c r="F35" s="51">
        <f t="shared" si="2"/>
        <v>0</v>
      </c>
      <c r="G35" s="107"/>
      <c r="H35" s="107"/>
      <c r="I35" s="107"/>
      <c r="J35" s="107"/>
      <c r="K35" s="107"/>
      <c r="L35" s="51">
        <f t="shared" si="4"/>
        <v>8800</v>
      </c>
      <c r="M35" s="107"/>
      <c r="N35" s="107"/>
      <c r="O35" s="107"/>
      <c r="P35" s="107"/>
      <c r="Q35" s="107"/>
      <c r="R35" s="107"/>
      <c r="S35" s="107"/>
      <c r="T35" s="107"/>
      <c r="U35" s="107"/>
      <c r="V35" s="107">
        <v>8800</v>
      </c>
      <c r="W35" s="107"/>
      <c r="X35" s="107"/>
    </row>
    <row r="36" spans="1:24" s="44" customFormat="1" ht="10.5" hidden="1">
      <c r="A36" s="97" t="s">
        <v>580</v>
      </c>
      <c r="B36" s="98" t="s">
        <v>34</v>
      </c>
      <c r="C36" s="98"/>
      <c r="D36" s="99" t="s">
        <v>31</v>
      </c>
      <c r="E36" s="100">
        <f t="shared" si="1"/>
        <v>141796</v>
      </c>
      <c r="F36" s="100">
        <f t="shared" si="2"/>
        <v>52400</v>
      </c>
      <c r="G36" s="101">
        <f>SUM(G37:G47)</f>
        <v>52400</v>
      </c>
      <c r="H36" s="101">
        <f t="shared" ref="H36:X36" si="7">SUM(H37:H47)</f>
        <v>0</v>
      </c>
      <c r="I36" s="101">
        <f t="shared" si="7"/>
        <v>0</v>
      </c>
      <c r="J36" s="101">
        <f t="shared" si="7"/>
        <v>0</v>
      </c>
      <c r="K36" s="101">
        <f t="shared" si="7"/>
        <v>0</v>
      </c>
      <c r="L36" s="100">
        <f t="shared" si="4"/>
        <v>89396</v>
      </c>
      <c r="M36" s="101">
        <f t="shared" si="7"/>
        <v>29280</v>
      </c>
      <c r="N36" s="101">
        <f t="shared" si="7"/>
        <v>14500</v>
      </c>
      <c r="O36" s="101">
        <f t="shared" si="7"/>
        <v>7080</v>
      </c>
      <c r="P36" s="101">
        <f t="shared" si="7"/>
        <v>0</v>
      </c>
      <c r="Q36" s="101">
        <f t="shared" si="7"/>
        <v>38536</v>
      </c>
      <c r="R36" s="101">
        <f t="shared" si="7"/>
        <v>0</v>
      </c>
      <c r="S36" s="101">
        <f t="shared" si="7"/>
        <v>0</v>
      </c>
      <c r="T36" s="101">
        <f t="shared" si="7"/>
        <v>0</v>
      </c>
      <c r="U36" s="101">
        <f t="shared" si="7"/>
        <v>0</v>
      </c>
      <c r="V36" s="101">
        <f t="shared" si="7"/>
        <v>0</v>
      </c>
      <c r="W36" s="101">
        <f t="shared" si="7"/>
        <v>0</v>
      </c>
      <c r="X36" s="101">
        <f t="shared" si="7"/>
        <v>0</v>
      </c>
    </row>
    <row r="37" spans="1:24" s="34" customFormat="1" hidden="1">
      <c r="A37" s="120">
        <v>3.1</v>
      </c>
      <c r="B37" s="121" t="s">
        <v>34</v>
      </c>
      <c r="C37" s="121"/>
      <c r="D37" s="106" t="s">
        <v>96</v>
      </c>
      <c r="E37" s="51">
        <f t="shared" si="1"/>
        <v>75620</v>
      </c>
      <c r="F37" s="51">
        <f t="shared" si="2"/>
        <v>36000</v>
      </c>
      <c r="G37" s="107">
        <v>36000</v>
      </c>
      <c r="H37" s="107"/>
      <c r="I37" s="107"/>
      <c r="J37" s="107"/>
      <c r="K37" s="107"/>
      <c r="L37" s="51">
        <f t="shared" si="4"/>
        <v>39620</v>
      </c>
      <c r="M37" s="107">
        <v>24780</v>
      </c>
      <c r="N37" s="107">
        <v>2000</v>
      </c>
      <c r="O37" s="107">
        <v>1280</v>
      </c>
      <c r="P37" s="107"/>
      <c r="Q37" s="107">
        <v>11560</v>
      </c>
      <c r="R37" s="107"/>
      <c r="S37" s="107"/>
      <c r="T37" s="107"/>
      <c r="U37" s="107"/>
      <c r="V37" s="107"/>
      <c r="W37" s="107"/>
      <c r="X37" s="107"/>
    </row>
    <row r="38" spans="1:24" s="34" customFormat="1" hidden="1">
      <c r="A38" s="120">
        <v>3.2</v>
      </c>
      <c r="B38" s="121" t="s">
        <v>34</v>
      </c>
      <c r="C38" s="121"/>
      <c r="D38" s="106" t="s">
        <v>218</v>
      </c>
      <c r="E38" s="51">
        <f t="shared" si="1"/>
        <v>16200</v>
      </c>
      <c r="F38" s="51">
        <f t="shared" si="2"/>
        <v>0</v>
      </c>
      <c r="G38" s="107"/>
      <c r="H38" s="107"/>
      <c r="I38" s="107"/>
      <c r="J38" s="107"/>
      <c r="K38" s="107"/>
      <c r="L38" s="51">
        <f t="shared" si="4"/>
        <v>16200</v>
      </c>
      <c r="M38" s="107"/>
      <c r="N38" s="107">
        <v>5000</v>
      </c>
      <c r="O38" s="107">
        <v>1200</v>
      </c>
      <c r="P38" s="107"/>
      <c r="Q38" s="107">
        <v>10000</v>
      </c>
      <c r="R38" s="107"/>
      <c r="S38" s="107"/>
      <c r="T38" s="107"/>
      <c r="U38" s="107"/>
      <c r="V38" s="107"/>
      <c r="W38" s="107"/>
      <c r="X38" s="107"/>
    </row>
    <row r="39" spans="1:24" s="34" customFormat="1" hidden="1">
      <c r="A39" s="120">
        <v>3.3</v>
      </c>
      <c r="B39" s="121" t="s">
        <v>34</v>
      </c>
      <c r="C39" s="121"/>
      <c r="D39" s="106" t="s">
        <v>219</v>
      </c>
      <c r="E39" s="51">
        <f t="shared" si="1"/>
        <v>5200</v>
      </c>
      <c r="F39" s="51">
        <f t="shared" si="2"/>
        <v>0</v>
      </c>
      <c r="G39" s="107"/>
      <c r="H39" s="107"/>
      <c r="I39" s="107"/>
      <c r="J39" s="107"/>
      <c r="K39" s="107"/>
      <c r="L39" s="51">
        <f t="shared" si="4"/>
        <v>5200</v>
      </c>
      <c r="M39" s="107"/>
      <c r="N39" s="107">
        <v>1000</v>
      </c>
      <c r="O39" s="107">
        <v>200</v>
      </c>
      <c r="P39" s="107"/>
      <c r="Q39" s="107">
        <v>4000</v>
      </c>
      <c r="R39" s="107"/>
      <c r="S39" s="107"/>
      <c r="T39" s="107"/>
      <c r="U39" s="107"/>
      <c r="V39" s="107"/>
      <c r="W39" s="107"/>
      <c r="X39" s="107"/>
    </row>
    <row r="40" spans="1:24" s="34" customFormat="1" hidden="1">
      <c r="A40" s="120">
        <v>3.4</v>
      </c>
      <c r="B40" s="121" t="s">
        <v>34</v>
      </c>
      <c r="C40" s="121"/>
      <c r="D40" s="106" t="s">
        <v>220</v>
      </c>
      <c r="E40" s="51">
        <f t="shared" si="1"/>
        <v>9400</v>
      </c>
      <c r="F40" s="51">
        <f t="shared" si="2"/>
        <v>0</v>
      </c>
      <c r="G40" s="107"/>
      <c r="H40" s="107"/>
      <c r="I40" s="107"/>
      <c r="J40" s="107"/>
      <c r="K40" s="107"/>
      <c r="L40" s="51">
        <f t="shared" si="4"/>
        <v>9400</v>
      </c>
      <c r="M40" s="107"/>
      <c r="N40" s="107">
        <v>2500</v>
      </c>
      <c r="O40" s="107">
        <v>2400</v>
      </c>
      <c r="P40" s="107"/>
      <c r="Q40" s="107">
        <v>4500</v>
      </c>
      <c r="R40" s="107"/>
      <c r="S40" s="107"/>
      <c r="T40" s="107"/>
      <c r="U40" s="107"/>
      <c r="V40" s="107"/>
      <c r="W40" s="107"/>
      <c r="X40" s="107"/>
    </row>
    <row r="41" spans="1:24" s="34" customFormat="1" ht="33.75" hidden="1">
      <c r="A41" s="120">
        <v>3.5</v>
      </c>
      <c r="B41" s="121" t="s">
        <v>34</v>
      </c>
      <c r="C41" s="121"/>
      <c r="D41" s="106" t="s">
        <v>221</v>
      </c>
      <c r="E41" s="51">
        <f t="shared" si="1"/>
        <v>6900</v>
      </c>
      <c r="F41" s="51">
        <f t="shared" si="2"/>
        <v>0</v>
      </c>
      <c r="G41" s="107"/>
      <c r="H41" s="107"/>
      <c r="I41" s="107"/>
      <c r="J41" s="107"/>
      <c r="K41" s="107"/>
      <c r="L41" s="51">
        <f t="shared" si="4"/>
        <v>6900</v>
      </c>
      <c r="M41" s="107"/>
      <c r="N41" s="107">
        <v>2500</v>
      </c>
      <c r="O41" s="107">
        <v>2000</v>
      </c>
      <c r="P41" s="107"/>
      <c r="Q41" s="107">
        <v>2400</v>
      </c>
      <c r="R41" s="107"/>
      <c r="S41" s="107"/>
      <c r="T41" s="107"/>
      <c r="U41" s="107"/>
      <c r="V41" s="107"/>
      <c r="W41" s="107"/>
      <c r="X41" s="107"/>
    </row>
    <row r="42" spans="1:24" s="34" customFormat="1" hidden="1">
      <c r="A42" s="120">
        <v>3.7</v>
      </c>
      <c r="B42" s="121" t="s">
        <v>34</v>
      </c>
      <c r="C42" s="121"/>
      <c r="D42" s="106" t="s">
        <v>290</v>
      </c>
      <c r="E42" s="51">
        <f t="shared" si="1"/>
        <v>1700</v>
      </c>
      <c r="F42" s="51">
        <f t="shared" si="2"/>
        <v>0</v>
      </c>
      <c r="G42" s="107"/>
      <c r="H42" s="107"/>
      <c r="I42" s="107"/>
      <c r="J42" s="107"/>
      <c r="K42" s="107"/>
      <c r="L42" s="51">
        <f t="shared" si="4"/>
        <v>1700</v>
      </c>
      <c r="M42" s="107"/>
      <c r="N42" s="107">
        <v>1000</v>
      </c>
      <c r="O42" s="107"/>
      <c r="P42" s="107"/>
      <c r="Q42" s="107">
        <v>700</v>
      </c>
      <c r="R42" s="107"/>
      <c r="S42" s="107"/>
      <c r="T42" s="107"/>
      <c r="U42" s="107"/>
      <c r="V42" s="107"/>
      <c r="W42" s="107"/>
      <c r="X42" s="107"/>
    </row>
    <row r="43" spans="1:24" hidden="1">
      <c r="A43" s="120">
        <v>3.9</v>
      </c>
      <c r="B43" s="121" t="s">
        <v>34</v>
      </c>
      <c r="C43" s="121"/>
      <c r="D43" s="106" t="s">
        <v>291</v>
      </c>
      <c r="E43" s="51">
        <f t="shared" si="1"/>
        <v>8900</v>
      </c>
      <c r="F43" s="51">
        <f t="shared" si="2"/>
        <v>8400</v>
      </c>
      <c r="G43" s="107">
        <v>8400</v>
      </c>
      <c r="H43" s="107"/>
      <c r="I43" s="107"/>
      <c r="J43" s="107"/>
      <c r="K43" s="107"/>
      <c r="L43" s="51">
        <f t="shared" si="4"/>
        <v>500</v>
      </c>
      <c r="M43" s="107"/>
      <c r="N43" s="107">
        <v>500</v>
      </c>
      <c r="O43" s="107"/>
      <c r="P43" s="107"/>
      <c r="Q43" s="107"/>
      <c r="R43" s="107"/>
      <c r="S43" s="107"/>
      <c r="T43" s="107"/>
      <c r="U43" s="107"/>
      <c r="V43" s="107"/>
      <c r="W43" s="107"/>
      <c r="X43" s="107"/>
    </row>
    <row r="44" spans="1:24" hidden="1">
      <c r="A44" s="120">
        <v>3.1</v>
      </c>
      <c r="B44" s="121" t="s">
        <v>34</v>
      </c>
      <c r="C44" s="121"/>
      <c r="D44" s="106" t="s">
        <v>92</v>
      </c>
      <c r="E44" s="51">
        <f t="shared" si="1"/>
        <v>4500</v>
      </c>
      <c r="F44" s="51">
        <f t="shared" si="2"/>
        <v>0</v>
      </c>
      <c r="G44" s="481"/>
      <c r="H44" s="481"/>
      <c r="I44" s="481"/>
      <c r="J44" s="481"/>
      <c r="K44" s="481"/>
      <c r="L44" s="51">
        <f t="shared" si="4"/>
        <v>4500</v>
      </c>
      <c r="M44" s="481">
        <v>4500</v>
      </c>
      <c r="N44" s="481"/>
      <c r="O44" s="481"/>
      <c r="P44" s="481"/>
      <c r="Q44" s="481"/>
      <c r="R44" s="481"/>
      <c r="S44" s="481"/>
      <c r="T44" s="481"/>
      <c r="U44" s="481"/>
      <c r="V44" s="481"/>
      <c r="W44" s="481"/>
      <c r="X44" s="481"/>
    </row>
    <row r="45" spans="1:24" hidden="1">
      <c r="A45" s="120">
        <v>3.11</v>
      </c>
      <c r="B45" s="121" t="s">
        <v>34</v>
      </c>
      <c r="C45" s="121"/>
      <c r="D45" s="106" t="s">
        <v>520</v>
      </c>
      <c r="E45" s="51">
        <f t="shared" si="1"/>
        <v>1200</v>
      </c>
      <c r="F45" s="51">
        <f t="shared" si="2"/>
        <v>0</v>
      </c>
      <c r="G45" s="481"/>
      <c r="H45" s="481"/>
      <c r="I45" s="481"/>
      <c r="J45" s="481"/>
      <c r="K45" s="481"/>
      <c r="L45" s="51">
        <f t="shared" si="4"/>
        <v>1200</v>
      </c>
      <c r="M45" s="481"/>
      <c r="N45" s="481"/>
      <c r="O45" s="481"/>
      <c r="P45" s="481"/>
      <c r="Q45" s="481">
        <v>1200</v>
      </c>
      <c r="R45" s="481"/>
      <c r="S45" s="481"/>
      <c r="T45" s="481"/>
      <c r="U45" s="481"/>
      <c r="V45" s="481"/>
      <c r="W45" s="481"/>
      <c r="X45" s="481"/>
    </row>
    <row r="46" spans="1:24" hidden="1">
      <c r="A46" s="120">
        <v>3.12</v>
      </c>
      <c r="B46" s="121" t="s">
        <v>34</v>
      </c>
      <c r="C46" s="121"/>
      <c r="D46" s="106" t="s">
        <v>521</v>
      </c>
      <c r="E46" s="51">
        <f t="shared" si="1"/>
        <v>4176</v>
      </c>
      <c r="F46" s="51">
        <f t="shared" si="2"/>
        <v>0</v>
      </c>
      <c r="G46" s="481"/>
      <c r="H46" s="481"/>
      <c r="I46" s="481"/>
      <c r="J46" s="481"/>
      <c r="K46" s="481"/>
      <c r="L46" s="51">
        <f t="shared" si="4"/>
        <v>4176</v>
      </c>
      <c r="M46" s="481"/>
      <c r="N46" s="481"/>
      <c r="O46" s="481"/>
      <c r="P46" s="481"/>
      <c r="Q46" s="481">
        <v>4176</v>
      </c>
      <c r="R46" s="481"/>
      <c r="S46" s="481"/>
      <c r="T46" s="481"/>
      <c r="U46" s="481"/>
      <c r="V46" s="481"/>
      <c r="W46" s="481"/>
      <c r="X46" s="481"/>
    </row>
    <row r="47" spans="1:24" hidden="1">
      <c r="A47" s="120">
        <v>3.13</v>
      </c>
      <c r="B47" s="121" t="s">
        <v>34</v>
      </c>
      <c r="C47" s="121"/>
      <c r="D47" s="106" t="s">
        <v>522</v>
      </c>
      <c r="E47" s="51">
        <f t="shared" si="1"/>
        <v>8000</v>
      </c>
      <c r="F47" s="51">
        <f t="shared" si="2"/>
        <v>8000</v>
      </c>
      <c r="G47" s="481">
        <v>8000</v>
      </c>
      <c r="H47" s="481"/>
      <c r="I47" s="481"/>
      <c r="J47" s="481"/>
      <c r="K47" s="481"/>
      <c r="L47" s="51">
        <f t="shared" si="4"/>
        <v>0</v>
      </c>
      <c r="M47" s="481"/>
      <c r="N47" s="481"/>
      <c r="O47" s="481"/>
      <c r="P47" s="481"/>
      <c r="Q47" s="481"/>
      <c r="R47" s="481"/>
      <c r="S47" s="481"/>
      <c r="T47" s="481"/>
      <c r="U47" s="481"/>
      <c r="V47" s="481"/>
      <c r="W47" s="481"/>
      <c r="X47" s="481"/>
    </row>
    <row r="48" spans="1:24" s="3" customFormat="1" ht="31.5" hidden="1">
      <c r="A48" s="99" t="s">
        <v>581</v>
      </c>
      <c r="B48" s="98" t="s">
        <v>34</v>
      </c>
      <c r="C48" s="98"/>
      <c r="D48" s="99" t="s">
        <v>223</v>
      </c>
      <c r="E48" s="100">
        <f t="shared" si="1"/>
        <v>229670</v>
      </c>
      <c r="F48" s="100">
        <f t="shared" si="2"/>
        <v>105000</v>
      </c>
      <c r="G48" s="101">
        <f>SUM(G49:G52)</f>
        <v>105000</v>
      </c>
      <c r="H48" s="101">
        <f t="shared" ref="H48:X48" si="8">SUM(H49:H52)</f>
        <v>0</v>
      </c>
      <c r="I48" s="101">
        <f t="shared" si="8"/>
        <v>0</v>
      </c>
      <c r="J48" s="101">
        <f t="shared" si="8"/>
        <v>0</v>
      </c>
      <c r="K48" s="101">
        <f t="shared" si="8"/>
        <v>0</v>
      </c>
      <c r="L48" s="100">
        <f t="shared" si="4"/>
        <v>124670</v>
      </c>
      <c r="M48" s="101">
        <f t="shared" si="8"/>
        <v>0</v>
      </c>
      <c r="N48" s="101">
        <f t="shared" si="8"/>
        <v>0</v>
      </c>
      <c r="O48" s="101">
        <f t="shared" si="8"/>
        <v>0</v>
      </c>
      <c r="P48" s="101">
        <f t="shared" si="8"/>
        <v>0</v>
      </c>
      <c r="Q48" s="101">
        <f t="shared" si="8"/>
        <v>124670</v>
      </c>
      <c r="R48" s="101">
        <f t="shared" si="8"/>
        <v>0</v>
      </c>
      <c r="S48" s="101">
        <f t="shared" si="8"/>
        <v>0</v>
      </c>
      <c r="T48" s="101">
        <f t="shared" si="8"/>
        <v>0</v>
      </c>
      <c r="U48" s="101">
        <f t="shared" si="8"/>
        <v>0</v>
      </c>
      <c r="V48" s="101">
        <f t="shared" si="8"/>
        <v>0</v>
      </c>
      <c r="W48" s="101">
        <f t="shared" si="8"/>
        <v>0</v>
      </c>
      <c r="X48" s="101">
        <f t="shared" si="8"/>
        <v>0</v>
      </c>
    </row>
    <row r="49" spans="1:24" s="127" customFormat="1" ht="67.5" hidden="1">
      <c r="A49" s="122">
        <v>1</v>
      </c>
      <c r="B49" s="103" t="s">
        <v>34</v>
      </c>
      <c r="C49" s="103"/>
      <c r="D49" s="104" t="s">
        <v>321</v>
      </c>
      <c r="E49" s="51">
        <f t="shared" si="1"/>
        <v>12900</v>
      </c>
      <c r="F49" s="51">
        <f t="shared" si="2"/>
        <v>10000</v>
      </c>
      <c r="G49" s="123">
        <v>10000</v>
      </c>
      <c r="H49" s="107"/>
      <c r="I49" s="107"/>
      <c r="J49" s="107"/>
      <c r="K49" s="107"/>
      <c r="L49" s="51">
        <f t="shared" si="4"/>
        <v>2900</v>
      </c>
      <c r="M49" s="124"/>
      <c r="N49" s="124"/>
      <c r="O49" s="124"/>
      <c r="P49" s="124"/>
      <c r="Q49" s="125">
        <v>2900</v>
      </c>
      <c r="R49" s="124"/>
      <c r="S49" s="124"/>
      <c r="T49" s="124"/>
      <c r="U49" s="124"/>
      <c r="V49" s="126"/>
      <c r="W49" s="124"/>
      <c r="X49" s="124"/>
    </row>
    <row r="50" spans="1:24" s="127" customFormat="1" ht="45" hidden="1">
      <c r="A50" s="122">
        <v>2</v>
      </c>
      <c r="B50" s="103" t="s">
        <v>34</v>
      </c>
      <c r="C50" s="103"/>
      <c r="D50" s="104" t="s">
        <v>322</v>
      </c>
      <c r="E50" s="51">
        <f t="shared" si="1"/>
        <v>50120</v>
      </c>
      <c r="F50" s="51">
        <f t="shared" si="2"/>
        <v>45000</v>
      </c>
      <c r="G50" s="123">
        <v>45000</v>
      </c>
      <c r="H50" s="107"/>
      <c r="I50" s="107"/>
      <c r="J50" s="107"/>
      <c r="K50" s="107"/>
      <c r="L50" s="51">
        <f t="shared" si="4"/>
        <v>5120</v>
      </c>
      <c r="M50" s="124"/>
      <c r="N50" s="124"/>
      <c r="O50" s="124"/>
      <c r="P50" s="124"/>
      <c r="Q50" s="128">
        <v>5120</v>
      </c>
      <c r="R50" s="124"/>
      <c r="S50" s="124"/>
      <c r="T50" s="124"/>
      <c r="U50" s="124"/>
      <c r="V50" s="126"/>
      <c r="W50" s="124"/>
      <c r="X50" s="124"/>
    </row>
    <row r="51" spans="1:24" s="1" customFormat="1" ht="45" hidden="1">
      <c r="A51" s="122">
        <v>3</v>
      </c>
      <c r="B51" s="103" t="s">
        <v>34</v>
      </c>
      <c r="C51" s="103" t="s">
        <v>34</v>
      </c>
      <c r="D51" s="104" t="s">
        <v>602</v>
      </c>
      <c r="E51" s="51">
        <f t="shared" si="1"/>
        <v>30000</v>
      </c>
      <c r="F51" s="51">
        <f t="shared" si="2"/>
        <v>30000</v>
      </c>
      <c r="G51" s="123">
        <v>30000</v>
      </c>
      <c r="H51" s="107"/>
      <c r="I51" s="107"/>
      <c r="J51" s="107"/>
      <c r="K51" s="107"/>
      <c r="L51" s="51">
        <f t="shared" si="4"/>
        <v>0</v>
      </c>
      <c r="M51" s="107"/>
      <c r="N51" s="107"/>
      <c r="O51" s="107"/>
      <c r="P51" s="107"/>
      <c r="Q51" s="107"/>
      <c r="R51" s="107"/>
      <c r="S51" s="107"/>
      <c r="T51" s="107"/>
      <c r="U51" s="107"/>
      <c r="V51" s="107"/>
      <c r="W51" s="107"/>
      <c r="X51" s="107"/>
    </row>
    <row r="52" spans="1:24" s="1" customFormat="1" ht="45" hidden="1">
      <c r="A52" s="122">
        <v>4</v>
      </c>
      <c r="B52" s="103" t="s">
        <v>34</v>
      </c>
      <c r="C52" s="103" t="s">
        <v>601</v>
      </c>
      <c r="D52" s="104" t="s">
        <v>600</v>
      </c>
      <c r="E52" s="51">
        <f t="shared" si="1"/>
        <v>136650</v>
      </c>
      <c r="F52" s="51">
        <f t="shared" si="2"/>
        <v>20000</v>
      </c>
      <c r="G52" s="123">
        <v>20000</v>
      </c>
      <c r="H52" s="107"/>
      <c r="I52" s="107"/>
      <c r="J52" s="107"/>
      <c r="K52" s="107"/>
      <c r="L52" s="51">
        <f t="shared" si="4"/>
        <v>116650</v>
      </c>
      <c r="M52" s="124"/>
      <c r="N52" s="124"/>
      <c r="O52" s="124"/>
      <c r="P52" s="124"/>
      <c r="Q52" s="125">
        <v>116650</v>
      </c>
      <c r="R52" s="124"/>
      <c r="S52" s="124"/>
      <c r="T52" s="124"/>
      <c r="U52" s="124"/>
      <c r="V52" s="126"/>
      <c r="W52" s="124"/>
      <c r="X52" s="124"/>
    </row>
    <row r="53" spans="1:24" s="35" customFormat="1" ht="21" hidden="1">
      <c r="A53" s="95">
        <v>2</v>
      </c>
      <c r="B53" s="94" t="s">
        <v>34</v>
      </c>
      <c r="C53" s="94"/>
      <c r="D53" s="129" t="s">
        <v>234</v>
      </c>
      <c r="E53" s="130">
        <f t="shared" si="1"/>
        <v>9963277.6459999997</v>
      </c>
      <c r="F53" s="130">
        <f t="shared" si="2"/>
        <v>2366000</v>
      </c>
      <c r="G53" s="96">
        <f>G54+G79+G98+G119</f>
        <v>2366000</v>
      </c>
      <c r="H53" s="96">
        <f t="shared" ref="H53:X53" si="9">H54+H79+H98+H119</f>
        <v>0</v>
      </c>
      <c r="I53" s="96">
        <f t="shared" si="9"/>
        <v>0</v>
      </c>
      <c r="J53" s="96">
        <f t="shared" si="9"/>
        <v>0</v>
      </c>
      <c r="K53" s="96">
        <f t="shared" si="9"/>
        <v>0</v>
      </c>
      <c r="L53" s="130">
        <f t="shared" si="4"/>
        <v>7597277.6459999997</v>
      </c>
      <c r="M53" s="96">
        <f t="shared" si="9"/>
        <v>527819</v>
      </c>
      <c r="N53" s="96">
        <f t="shared" si="9"/>
        <v>132370</v>
      </c>
      <c r="O53" s="96">
        <f t="shared" si="9"/>
        <v>221932</v>
      </c>
      <c r="P53" s="96">
        <f t="shared" si="9"/>
        <v>584127</v>
      </c>
      <c r="Q53" s="96">
        <f t="shared" si="9"/>
        <v>530032</v>
      </c>
      <c r="R53" s="96">
        <f t="shared" si="9"/>
        <v>168443</v>
      </c>
      <c r="S53" s="96">
        <f t="shared" si="9"/>
        <v>717987.64599999995</v>
      </c>
      <c r="T53" s="96">
        <f t="shared" si="9"/>
        <v>512082</v>
      </c>
      <c r="U53" s="96">
        <f t="shared" si="9"/>
        <v>1000885</v>
      </c>
      <c r="V53" s="96">
        <f t="shared" si="9"/>
        <v>405390</v>
      </c>
      <c r="W53" s="96">
        <f t="shared" si="9"/>
        <v>423510</v>
      </c>
      <c r="X53" s="96">
        <f t="shared" si="9"/>
        <v>2372700</v>
      </c>
    </row>
    <row r="54" spans="1:24" s="3" customFormat="1" ht="10.5" hidden="1">
      <c r="A54" s="131" t="s">
        <v>251</v>
      </c>
      <c r="B54" s="98" t="s">
        <v>34</v>
      </c>
      <c r="C54" s="98"/>
      <c r="D54" s="132" t="s">
        <v>18</v>
      </c>
      <c r="E54" s="100">
        <f t="shared" si="1"/>
        <v>3847022.6459999997</v>
      </c>
      <c r="F54" s="100">
        <f t="shared" si="2"/>
        <v>690000</v>
      </c>
      <c r="G54" s="101">
        <f>SUM(G55:G78)</f>
        <v>690000</v>
      </c>
      <c r="H54" s="101">
        <f t="shared" ref="H54:X54" si="10">SUM(H55:H78)</f>
        <v>0</v>
      </c>
      <c r="I54" s="101">
        <f t="shared" si="10"/>
        <v>0</v>
      </c>
      <c r="J54" s="101">
        <f t="shared" si="10"/>
        <v>0</v>
      </c>
      <c r="K54" s="101">
        <f t="shared" si="10"/>
        <v>0</v>
      </c>
      <c r="L54" s="100">
        <f t="shared" si="4"/>
        <v>3157022.6459999997</v>
      </c>
      <c r="M54" s="101">
        <f t="shared" si="10"/>
        <v>468096</v>
      </c>
      <c r="N54" s="101">
        <f t="shared" si="10"/>
        <v>38912</v>
      </c>
      <c r="O54" s="101">
        <f t="shared" si="10"/>
        <v>49515</v>
      </c>
      <c r="P54" s="101">
        <f t="shared" si="10"/>
        <v>59732</v>
      </c>
      <c r="Q54" s="101">
        <f t="shared" si="10"/>
        <v>180946</v>
      </c>
      <c r="R54" s="101">
        <f t="shared" si="10"/>
        <v>20720</v>
      </c>
      <c r="S54" s="101">
        <f t="shared" si="10"/>
        <v>85877.646000000008</v>
      </c>
      <c r="T54" s="101">
        <f t="shared" si="10"/>
        <v>28900</v>
      </c>
      <c r="U54" s="101">
        <f t="shared" si="10"/>
        <v>93904</v>
      </c>
      <c r="V54" s="101">
        <f t="shared" si="10"/>
        <v>73610</v>
      </c>
      <c r="W54" s="101">
        <f t="shared" si="10"/>
        <v>31580</v>
      </c>
      <c r="X54" s="101">
        <f t="shared" si="10"/>
        <v>2025230</v>
      </c>
    </row>
    <row r="55" spans="1:24" s="134" customFormat="1" ht="33.75" hidden="1">
      <c r="A55" s="122">
        <v>1</v>
      </c>
      <c r="B55" s="103" t="s">
        <v>34</v>
      </c>
      <c r="C55" s="103"/>
      <c r="D55" s="133" t="s">
        <v>386</v>
      </c>
      <c r="E55" s="51">
        <f t="shared" si="1"/>
        <v>143336</v>
      </c>
      <c r="F55" s="51">
        <f t="shared" si="2"/>
        <v>96000</v>
      </c>
      <c r="G55" s="105">
        <v>96000</v>
      </c>
      <c r="H55" s="123"/>
      <c r="I55" s="123"/>
      <c r="J55" s="123"/>
      <c r="K55" s="123"/>
      <c r="L55" s="51">
        <f t="shared" si="4"/>
        <v>47336</v>
      </c>
      <c r="M55" s="105"/>
      <c r="N55" s="105"/>
      <c r="O55" s="105">
        <v>3600</v>
      </c>
      <c r="P55" s="105">
        <v>4800</v>
      </c>
      <c r="Q55" s="105">
        <v>6896</v>
      </c>
      <c r="R55" s="105">
        <v>4800</v>
      </c>
      <c r="S55" s="105">
        <v>3040</v>
      </c>
      <c r="T55" s="105">
        <v>1760</v>
      </c>
      <c r="U55" s="105">
        <v>12760</v>
      </c>
      <c r="V55" s="105">
        <v>4800</v>
      </c>
      <c r="W55" s="105">
        <v>2000</v>
      </c>
      <c r="X55" s="105">
        <v>2880</v>
      </c>
    </row>
    <row r="56" spans="1:24" s="134" customFormat="1" ht="45" hidden="1">
      <c r="A56" s="122">
        <v>2</v>
      </c>
      <c r="B56" s="103" t="s">
        <v>34</v>
      </c>
      <c r="C56" s="103"/>
      <c r="D56" s="133" t="s">
        <v>603</v>
      </c>
      <c r="E56" s="51">
        <f t="shared" si="1"/>
        <v>194970</v>
      </c>
      <c r="F56" s="51">
        <f t="shared" si="2"/>
        <v>94000</v>
      </c>
      <c r="G56" s="105">
        <v>94000</v>
      </c>
      <c r="H56" s="123"/>
      <c r="I56" s="123"/>
      <c r="J56" s="123"/>
      <c r="K56" s="123"/>
      <c r="L56" s="51">
        <f t="shared" si="4"/>
        <v>100970</v>
      </c>
      <c r="M56" s="105"/>
      <c r="N56" s="105">
        <v>5000</v>
      </c>
      <c r="O56" s="105"/>
      <c r="P56" s="105">
        <v>1040</v>
      </c>
      <c r="Q56" s="105"/>
      <c r="R56" s="105">
        <v>8640</v>
      </c>
      <c r="S56" s="105">
        <v>32460</v>
      </c>
      <c r="T56" s="105">
        <v>9970</v>
      </c>
      <c r="U56" s="105">
        <v>12760</v>
      </c>
      <c r="V56" s="105">
        <v>25200</v>
      </c>
      <c r="W56" s="105">
        <v>1440</v>
      </c>
      <c r="X56" s="105">
        <v>4460</v>
      </c>
    </row>
    <row r="57" spans="1:24" s="1" customFormat="1" ht="22.5" hidden="1">
      <c r="A57" s="122">
        <v>3</v>
      </c>
      <c r="B57" s="103" t="s">
        <v>34</v>
      </c>
      <c r="C57" s="103"/>
      <c r="D57" s="482" t="s">
        <v>388</v>
      </c>
      <c r="E57" s="51">
        <f t="shared" si="1"/>
        <v>50000</v>
      </c>
      <c r="F57" s="51">
        <f t="shared" si="2"/>
        <v>30000</v>
      </c>
      <c r="G57" s="135">
        <v>30000</v>
      </c>
      <c r="H57" s="135"/>
      <c r="I57" s="135"/>
      <c r="J57" s="135"/>
      <c r="K57" s="135"/>
      <c r="L57" s="51">
        <f t="shared" si="4"/>
        <v>20000</v>
      </c>
      <c r="M57" s="135"/>
      <c r="N57" s="135"/>
      <c r="O57" s="135"/>
      <c r="P57" s="135"/>
      <c r="Q57" s="135">
        <v>20000</v>
      </c>
      <c r="R57" s="135"/>
      <c r="S57" s="135"/>
      <c r="T57" s="135"/>
      <c r="U57" s="135"/>
      <c r="V57" s="135"/>
      <c r="W57" s="135"/>
      <c r="X57" s="135"/>
    </row>
    <row r="58" spans="1:24" s="1" customFormat="1" ht="45" hidden="1">
      <c r="A58" s="122">
        <v>4</v>
      </c>
      <c r="B58" s="103" t="s">
        <v>34</v>
      </c>
      <c r="C58" s="103"/>
      <c r="D58" s="482" t="s">
        <v>35</v>
      </c>
      <c r="E58" s="51">
        <f t="shared" si="1"/>
        <v>93580</v>
      </c>
      <c r="F58" s="51">
        <f t="shared" si="2"/>
        <v>17700</v>
      </c>
      <c r="G58" s="115">
        <v>17700</v>
      </c>
      <c r="H58" s="135"/>
      <c r="I58" s="135"/>
      <c r="J58" s="135"/>
      <c r="K58" s="135"/>
      <c r="L58" s="51">
        <f t="shared" si="4"/>
        <v>75880</v>
      </c>
      <c r="M58" s="136">
        <v>10360</v>
      </c>
      <c r="N58" s="115">
        <v>6600</v>
      </c>
      <c r="O58" s="137">
        <v>20740</v>
      </c>
      <c r="P58" s="115">
        <v>4800</v>
      </c>
      <c r="Q58" s="138">
        <v>2180</v>
      </c>
      <c r="R58" s="137">
        <v>1470</v>
      </c>
      <c r="S58" s="115">
        <v>7300</v>
      </c>
      <c r="T58" s="137">
        <v>1620</v>
      </c>
      <c r="U58" s="136">
        <v>12760</v>
      </c>
      <c r="V58" s="137">
        <v>3350</v>
      </c>
      <c r="W58" s="137">
        <v>2400</v>
      </c>
      <c r="X58" s="137">
        <v>2300</v>
      </c>
    </row>
    <row r="59" spans="1:24" s="1" customFormat="1" ht="22.5" hidden="1">
      <c r="A59" s="122">
        <v>5</v>
      </c>
      <c r="B59" s="103" t="s">
        <v>34</v>
      </c>
      <c r="C59" s="103"/>
      <c r="D59" s="482" t="s">
        <v>389</v>
      </c>
      <c r="E59" s="51">
        <f t="shared" si="1"/>
        <v>29823.3</v>
      </c>
      <c r="F59" s="51">
        <f t="shared" si="2"/>
        <v>3650</v>
      </c>
      <c r="G59" s="115">
        <v>3650</v>
      </c>
      <c r="H59" s="135"/>
      <c r="I59" s="135"/>
      <c r="J59" s="135"/>
      <c r="K59" s="135"/>
      <c r="L59" s="51">
        <f t="shared" si="4"/>
        <v>26173.3</v>
      </c>
      <c r="M59" s="136"/>
      <c r="N59" s="115">
        <v>2000</v>
      </c>
      <c r="O59" s="137"/>
      <c r="P59" s="115">
        <v>2772</v>
      </c>
      <c r="Q59" s="138"/>
      <c r="R59" s="137"/>
      <c r="S59" s="139">
        <v>17851.3</v>
      </c>
      <c r="T59" s="137"/>
      <c r="U59" s="136">
        <v>250</v>
      </c>
      <c r="V59" s="137">
        <v>500</v>
      </c>
      <c r="W59" s="137">
        <v>1800</v>
      </c>
      <c r="X59" s="137">
        <v>1000</v>
      </c>
    </row>
    <row r="60" spans="1:24" s="1" customFormat="1" ht="22.5" hidden="1">
      <c r="A60" s="122">
        <v>6</v>
      </c>
      <c r="B60" s="103" t="s">
        <v>34</v>
      </c>
      <c r="C60" s="103"/>
      <c r="D60" s="482" t="s">
        <v>390</v>
      </c>
      <c r="E60" s="51">
        <f t="shared" si="1"/>
        <v>27175</v>
      </c>
      <c r="F60" s="51">
        <f t="shared" si="2"/>
        <v>3650</v>
      </c>
      <c r="G60" s="115">
        <v>3650</v>
      </c>
      <c r="H60" s="135"/>
      <c r="I60" s="135"/>
      <c r="J60" s="135"/>
      <c r="K60" s="135"/>
      <c r="L60" s="51">
        <f t="shared" si="4"/>
        <v>23525</v>
      </c>
      <c r="M60" s="136">
        <v>505</v>
      </c>
      <c r="N60" s="115">
        <v>500</v>
      </c>
      <c r="O60" s="137">
        <v>3300</v>
      </c>
      <c r="P60" s="115">
        <v>6400</v>
      </c>
      <c r="Q60" s="138"/>
      <c r="R60" s="137"/>
      <c r="S60" s="115"/>
      <c r="T60" s="137">
        <v>820</v>
      </c>
      <c r="U60" s="136">
        <v>2000</v>
      </c>
      <c r="V60" s="137">
        <v>10000</v>
      </c>
      <c r="W60" s="137"/>
      <c r="X60" s="137"/>
    </row>
    <row r="61" spans="1:24" s="1" customFormat="1" ht="22.5" hidden="1">
      <c r="A61" s="122">
        <v>7</v>
      </c>
      <c r="B61" s="103" t="s">
        <v>34</v>
      </c>
      <c r="C61" s="103"/>
      <c r="D61" s="482" t="s">
        <v>37</v>
      </c>
      <c r="E61" s="51">
        <f t="shared" si="1"/>
        <v>2006800</v>
      </c>
      <c r="F61" s="51">
        <f t="shared" si="2"/>
        <v>5000</v>
      </c>
      <c r="G61" s="115">
        <v>5000</v>
      </c>
      <c r="H61" s="135"/>
      <c r="I61" s="135"/>
      <c r="J61" s="135"/>
      <c r="K61" s="135"/>
      <c r="L61" s="51">
        <f t="shared" si="4"/>
        <v>2001800</v>
      </c>
      <c r="M61" s="136"/>
      <c r="N61" s="115">
        <v>1800</v>
      </c>
      <c r="O61" s="137"/>
      <c r="P61" s="115"/>
      <c r="Q61" s="399"/>
      <c r="R61" s="137"/>
      <c r="S61" s="115"/>
      <c r="T61" s="137"/>
      <c r="U61" s="136"/>
      <c r="V61" s="137"/>
      <c r="W61" s="137"/>
      <c r="X61" s="137">
        <v>2000000</v>
      </c>
    </row>
    <row r="62" spans="1:24" s="1" customFormat="1" ht="56.25" hidden="1">
      <c r="A62" s="122">
        <v>8</v>
      </c>
      <c r="B62" s="103" t="s">
        <v>34</v>
      </c>
      <c r="C62" s="103"/>
      <c r="D62" s="483" t="s">
        <v>39</v>
      </c>
      <c r="E62" s="51">
        <f t="shared" si="1"/>
        <v>7840</v>
      </c>
      <c r="F62" s="51">
        <f t="shared" si="2"/>
        <v>0</v>
      </c>
      <c r="G62" s="115"/>
      <c r="H62" s="135"/>
      <c r="I62" s="135"/>
      <c r="J62" s="135"/>
      <c r="K62" s="135"/>
      <c r="L62" s="51">
        <f t="shared" si="4"/>
        <v>7840</v>
      </c>
      <c r="M62" s="136">
        <v>750</v>
      </c>
      <c r="N62" s="115">
        <v>90</v>
      </c>
      <c r="O62" s="137">
        <v>750</v>
      </c>
      <c r="P62" s="115">
        <v>750</v>
      </c>
      <c r="Q62" s="138">
        <v>600</v>
      </c>
      <c r="R62" s="137">
        <v>450</v>
      </c>
      <c r="S62" s="115">
        <v>900</v>
      </c>
      <c r="T62" s="137">
        <v>450</v>
      </c>
      <c r="U62" s="136">
        <v>1000</v>
      </c>
      <c r="V62" s="137">
        <v>600</v>
      </c>
      <c r="W62" s="137">
        <v>900</v>
      </c>
      <c r="X62" s="137">
        <v>600</v>
      </c>
    </row>
    <row r="63" spans="1:24" s="1" customFormat="1" ht="33.75" hidden="1">
      <c r="A63" s="122">
        <v>9</v>
      </c>
      <c r="B63" s="103" t="s">
        <v>34</v>
      </c>
      <c r="C63" s="103"/>
      <c r="D63" s="483" t="s">
        <v>40</v>
      </c>
      <c r="E63" s="51">
        <f t="shared" si="1"/>
        <v>57600</v>
      </c>
      <c r="F63" s="51">
        <f t="shared" si="2"/>
        <v>0</v>
      </c>
      <c r="G63" s="115"/>
      <c r="H63" s="135"/>
      <c r="I63" s="135"/>
      <c r="J63" s="135"/>
      <c r="K63" s="135"/>
      <c r="L63" s="51">
        <f t="shared" si="4"/>
        <v>57600</v>
      </c>
      <c r="M63" s="136">
        <v>5760</v>
      </c>
      <c r="N63" s="115">
        <v>2880</v>
      </c>
      <c r="O63" s="137">
        <v>3600</v>
      </c>
      <c r="P63" s="115">
        <v>7200</v>
      </c>
      <c r="Q63" s="138">
        <v>6000</v>
      </c>
      <c r="R63" s="137">
        <v>3360</v>
      </c>
      <c r="S63" s="115">
        <v>6840</v>
      </c>
      <c r="T63" s="137">
        <v>3960</v>
      </c>
      <c r="U63" s="136">
        <v>6720</v>
      </c>
      <c r="V63" s="137">
        <v>4800</v>
      </c>
      <c r="W63" s="137">
        <v>3240</v>
      </c>
      <c r="X63" s="137">
        <v>3240</v>
      </c>
    </row>
    <row r="64" spans="1:24" s="1" customFormat="1" ht="45" hidden="1">
      <c r="A64" s="122">
        <v>10</v>
      </c>
      <c r="B64" s="103" t="s">
        <v>34</v>
      </c>
      <c r="C64" s="103"/>
      <c r="D64" s="483" t="s">
        <v>41</v>
      </c>
      <c r="E64" s="51">
        <f t="shared" si="1"/>
        <v>89550</v>
      </c>
      <c r="F64" s="51">
        <f t="shared" si="2"/>
        <v>0</v>
      </c>
      <c r="G64" s="115"/>
      <c r="H64" s="135"/>
      <c r="I64" s="135"/>
      <c r="J64" s="135"/>
      <c r="K64" s="135"/>
      <c r="L64" s="51">
        <f t="shared" si="4"/>
        <v>89550</v>
      </c>
      <c r="M64" s="136">
        <v>10800</v>
      </c>
      <c r="N64" s="115">
        <v>1450</v>
      </c>
      <c r="O64" s="137">
        <v>6600</v>
      </c>
      <c r="P64" s="115">
        <v>13200</v>
      </c>
      <c r="Q64" s="138">
        <v>8220</v>
      </c>
      <c r="R64" s="137">
        <v>2000</v>
      </c>
      <c r="S64" s="115">
        <v>8400</v>
      </c>
      <c r="T64" s="137">
        <v>8400</v>
      </c>
      <c r="U64" s="136">
        <v>15480</v>
      </c>
      <c r="V64" s="137">
        <v>4800</v>
      </c>
      <c r="W64" s="137">
        <v>6000</v>
      </c>
      <c r="X64" s="137">
        <v>4200</v>
      </c>
    </row>
    <row r="65" spans="1:24" s="1" customFormat="1" ht="45" hidden="1">
      <c r="A65" s="122">
        <v>11</v>
      </c>
      <c r="B65" s="103" t="s">
        <v>34</v>
      </c>
      <c r="C65" s="103"/>
      <c r="D65" s="483" t="s">
        <v>42</v>
      </c>
      <c r="E65" s="51">
        <f t="shared" si="1"/>
        <v>11955</v>
      </c>
      <c r="F65" s="51">
        <f t="shared" si="2"/>
        <v>0</v>
      </c>
      <c r="G65" s="115"/>
      <c r="H65" s="135"/>
      <c r="I65" s="135"/>
      <c r="J65" s="135"/>
      <c r="K65" s="135"/>
      <c r="L65" s="51">
        <f t="shared" si="4"/>
        <v>11955</v>
      </c>
      <c r="M65" s="136"/>
      <c r="N65" s="115">
        <v>510</v>
      </c>
      <c r="O65" s="137">
        <v>1000</v>
      </c>
      <c r="P65" s="115">
        <v>1800</v>
      </c>
      <c r="Q65" s="138">
        <v>1450</v>
      </c>
      <c r="R65" s="137"/>
      <c r="S65" s="115">
        <v>1200</v>
      </c>
      <c r="T65" s="137">
        <v>200</v>
      </c>
      <c r="U65" s="136">
        <v>4135</v>
      </c>
      <c r="V65" s="137">
        <v>960</v>
      </c>
      <c r="W65" s="137">
        <v>400</v>
      </c>
      <c r="X65" s="137">
        <v>300</v>
      </c>
    </row>
    <row r="66" spans="1:24" s="1" customFormat="1" ht="22.5" hidden="1">
      <c r="A66" s="122">
        <v>12</v>
      </c>
      <c r="B66" s="103" t="s">
        <v>34</v>
      </c>
      <c r="C66" s="103"/>
      <c r="D66" s="484" t="s">
        <v>43</v>
      </c>
      <c r="E66" s="51">
        <f t="shared" si="1"/>
        <v>1200</v>
      </c>
      <c r="F66" s="51">
        <f t="shared" si="2"/>
        <v>0</v>
      </c>
      <c r="G66" s="115"/>
      <c r="H66" s="135"/>
      <c r="I66" s="135"/>
      <c r="J66" s="135"/>
      <c r="K66" s="135"/>
      <c r="L66" s="51">
        <f t="shared" si="4"/>
        <v>1200</v>
      </c>
      <c r="M66" s="136"/>
      <c r="N66" s="115">
        <v>1200</v>
      </c>
      <c r="O66" s="137"/>
      <c r="P66" s="115"/>
      <c r="Q66" s="138"/>
      <c r="R66" s="137"/>
      <c r="S66" s="115"/>
      <c r="T66" s="137"/>
      <c r="U66" s="136"/>
      <c r="V66" s="137"/>
      <c r="W66" s="137"/>
      <c r="X66" s="137"/>
    </row>
    <row r="67" spans="1:24" s="1" customFormat="1" ht="33.75" hidden="1">
      <c r="A67" s="122">
        <v>13</v>
      </c>
      <c r="B67" s="103" t="s">
        <v>34</v>
      </c>
      <c r="C67" s="103"/>
      <c r="D67" s="240" t="s">
        <v>44</v>
      </c>
      <c r="E67" s="51">
        <f t="shared" si="1"/>
        <v>2625</v>
      </c>
      <c r="F67" s="51">
        <f t="shared" si="2"/>
        <v>0</v>
      </c>
      <c r="G67" s="115"/>
      <c r="H67" s="135"/>
      <c r="I67" s="135"/>
      <c r="J67" s="135"/>
      <c r="K67" s="135"/>
      <c r="L67" s="51">
        <f t="shared" si="4"/>
        <v>2625</v>
      </c>
      <c r="M67" s="136">
        <v>595</v>
      </c>
      <c r="N67" s="115">
        <v>70</v>
      </c>
      <c r="O67" s="137"/>
      <c r="P67" s="115">
        <v>770</v>
      </c>
      <c r="Q67" s="138"/>
      <c r="R67" s="137"/>
      <c r="S67" s="115">
        <v>490</v>
      </c>
      <c r="T67" s="137"/>
      <c r="U67" s="136">
        <v>420</v>
      </c>
      <c r="V67" s="137">
        <v>280</v>
      </c>
      <c r="W67" s="137"/>
      <c r="X67" s="137"/>
    </row>
    <row r="68" spans="1:24" s="1" customFormat="1" ht="22.5" hidden="1">
      <c r="A68" s="122">
        <v>14</v>
      </c>
      <c r="B68" s="103" t="s">
        <v>34</v>
      </c>
      <c r="C68" s="103"/>
      <c r="D68" s="240" t="s">
        <v>45</v>
      </c>
      <c r="E68" s="51">
        <f t="shared" si="1"/>
        <v>8060</v>
      </c>
      <c r="F68" s="51">
        <f t="shared" si="2"/>
        <v>0</v>
      </c>
      <c r="G68" s="115"/>
      <c r="H68" s="135"/>
      <c r="I68" s="135"/>
      <c r="J68" s="135"/>
      <c r="K68" s="135"/>
      <c r="L68" s="51">
        <f t="shared" si="4"/>
        <v>8060</v>
      </c>
      <c r="M68" s="136">
        <v>558</v>
      </c>
      <c r="N68" s="115">
        <v>62</v>
      </c>
      <c r="O68" s="137"/>
      <c r="P68" s="115"/>
      <c r="Q68" s="138"/>
      <c r="R68" s="137"/>
      <c r="S68" s="115"/>
      <c r="T68" s="137"/>
      <c r="U68" s="136">
        <v>7440</v>
      </c>
      <c r="V68" s="137"/>
      <c r="W68" s="137"/>
      <c r="X68" s="137"/>
    </row>
    <row r="69" spans="1:24" s="1" customFormat="1" ht="22.5" hidden="1">
      <c r="A69" s="122">
        <v>15</v>
      </c>
      <c r="B69" s="103" t="s">
        <v>34</v>
      </c>
      <c r="C69" s="103"/>
      <c r="D69" s="183" t="s">
        <v>46</v>
      </c>
      <c r="E69" s="51">
        <f t="shared" si="1"/>
        <v>101200</v>
      </c>
      <c r="F69" s="51">
        <f t="shared" si="2"/>
        <v>0</v>
      </c>
      <c r="G69" s="115"/>
      <c r="H69" s="135"/>
      <c r="I69" s="135"/>
      <c r="J69" s="135"/>
      <c r="K69" s="135"/>
      <c r="L69" s="51">
        <f t="shared" si="4"/>
        <v>101200</v>
      </c>
      <c r="M69" s="136"/>
      <c r="N69" s="115">
        <v>1200</v>
      </c>
      <c r="O69" s="137"/>
      <c r="P69" s="115"/>
      <c r="Q69" s="399">
        <v>100000</v>
      </c>
      <c r="R69" s="137"/>
      <c r="S69" s="115"/>
      <c r="T69" s="137"/>
      <c r="U69" s="136"/>
      <c r="V69" s="137"/>
      <c r="W69" s="137"/>
      <c r="X69" s="137"/>
    </row>
    <row r="70" spans="1:24" s="1" customFormat="1" ht="22.5" hidden="1">
      <c r="A70" s="122">
        <v>16</v>
      </c>
      <c r="B70" s="103" t="s">
        <v>34</v>
      </c>
      <c r="C70" s="103"/>
      <c r="D70" s="202" t="s">
        <v>47</v>
      </c>
      <c r="E70" s="51">
        <f t="shared" si="1"/>
        <v>50884</v>
      </c>
      <c r="F70" s="51">
        <f t="shared" si="2"/>
        <v>0</v>
      </c>
      <c r="G70" s="115"/>
      <c r="H70" s="135"/>
      <c r="I70" s="135"/>
      <c r="J70" s="135"/>
      <c r="K70" s="135"/>
      <c r="L70" s="51">
        <f t="shared" si="4"/>
        <v>50884</v>
      </c>
      <c r="M70" s="136"/>
      <c r="N70" s="115">
        <v>8400</v>
      </c>
      <c r="O70" s="137"/>
      <c r="P70" s="115">
        <v>7200</v>
      </c>
      <c r="Q70" s="138"/>
      <c r="R70" s="137"/>
      <c r="S70" s="115">
        <v>3040</v>
      </c>
      <c r="T70" s="137"/>
      <c r="U70" s="136">
        <v>11724</v>
      </c>
      <c r="V70" s="137">
        <v>4320</v>
      </c>
      <c r="W70" s="137">
        <v>10800</v>
      </c>
      <c r="X70" s="137">
        <v>5400</v>
      </c>
    </row>
    <row r="71" spans="1:24" s="1" customFormat="1" ht="22.5" hidden="1">
      <c r="A71" s="122">
        <v>17</v>
      </c>
      <c r="B71" s="103" t="s">
        <v>34</v>
      </c>
      <c r="C71" s="103"/>
      <c r="D71" s="202" t="s">
        <v>48</v>
      </c>
      <c r="E71" s="51">
        <f t="shared" si="1"/>
        <v>11800</v>
      </c>
      <c r="F71" s="51">
        <f t="shared" si="2"/>
        <v>0</v>
      </c>
      <c r="G71" s="115"/>
      <c r="H71" s="135"/>
      <c r="I71" s="135"/>
      <c r="J71" s="135"/>
      <c r="K71" s="135"/>
      <c r="L71" s="51">
        <f t="shared" si="4"/>
        <v>11800</v>
      </c>
      <c r="M71" s="136"/>
      <c r="N71" s="115">
        <v>200</v>
      </c>
      <c r="O71" s="137"/>
      <c r="P71" s="115">
        <v>4000</v>
      </c>
      <c r="Q71" s="138"/>
      <c r="R71" s="137"/>
      <c r="S71" s="115"/>
      <c r="T71" s="137"/>
      <c r="U71" s="136">
        <v>3000</v>
      </c>
      <c r="V71" s="137">
        <v>2000</v>
      </c>
      <c r="W71" s="137">
        <v>2600</v>
      </c>
      <c r="X71" s="137"/>
    </row>
    <row r="72" spans="1:24" s="1" customFormat="1" ht="22.5" hidden="1">
      <c r="A72" s="122">
        <v>18</v>
      </c>
      <c r="B72" s="103" t="s">
        <v>34</v>
      </c>
      <c r="C72" s="103"/>
      <c r="D72" s="202" t="s">
        <v>49</v>
      </c>
      <c r="E72" s="51">
        <f t="shared" si="1"/>
        <v>21245</v>
      </c>
      <c r="F72" s="51">
        <f t="shared" si="2"/>
        <v>5000</v>
      </c>
      <c r="G72" s="115">
        <v>5000</v>
      </c>
      <c r="H72" s="135"/>
      <c r="I72" s="135"/>
      <c r="J72" s="135"/>
      <c r="K72" s="135"/>
      <c r="L72" s="51">
        <f t="shared" si="4"/>
        <v>16245</v>
      </c>
      <c r="M72" s="136"/>
      <c r="N72" s="115">
        <v>3300</v>
      </c>
      <c r="O72" s="137">
        <v>2225</v>
      </c>
      <c r="P72" s="115"/>
      <c r="Q72" s="138"/>
      <c r="R72" s="137"/>
      <c r="S72" s="115"/>
      <c r="T72" s="137">
        <v>1720</v>
      </c>
      <c r="U72" s="136"/>
      <c r="V72" s="137">
        <v>9000</v>
      </c>
      <c r="W72" s="137"/>
      <c r="X72" s="137"/>
    </row>
    <row r="73" spans="1:24" s="1" customFormat="1" ht="22.5" hidden="1">
      <c r="A73" s="122">
        <v>19</v>
      </c>
      <c r="B73" s="103" t="s">
        <v>34</v>
      </c>
      <c r="C73" s="103"/>
      <c r="D73" s="143" t="s">
        <v>209</v>
      </c>
      <c r="E73" s="51">
        <f t="shared" si="1"/>
        <v>31200</v>
      </c>
      <c r="F73" s="51">
        <f t="shared" si="2"/>
        <v>0</v>
      </c>
      <c r="G73" s="115"/>
      <c r="H73" s="135"/>
      <c r="I73" s="135"/>
      <c r="J73" s="135"/>
      <c r="K73" s="135"/>
      <c r="L73" s="51">
        <f t="shared" si="4"/>
        <v>31200</v>
      </c>
      <c r="M73" s="136"/>
      <c r="N73" s="115">
        <v>1200</v>
      </c>
      <c r="O73" s="137"/>
      <c r="P73" s="115"/>
      <c r="Q73" s="399">
        <v>30000</v>
      </c>
      <c r="R73" s="137"/>
      <c r="S73" s="115"/>
      <c r="T73" s="137"/>
      <c r="U73" s="136"/>
      <c r="V73" s="137"/>
      <c r="W73" s="137"/>
      <c r="X73" s="137"/>
    </row>
    <row r="74" spans="1:24" s="1" customFormat="1" hidden="1">
      <c r="A74" s="122">
        <v>20</v>
      </c>
      <c r="B74" s="103" t="s">
        <v>34</v>
      </c>
      <c r="C74" s="103"/>
      <c r="D74" s="485" t="s">
        <v>307</v>
      </c>
      <c r="E74" s="51">
        <f t="shared" ref="E74:E137" si="11">F74+L74</f>
        <v>5805</v>
      </c>
      <c r="F74" s="51">
        <f t="shared" ref="F74:F137" si="12">SUM(G74:K74)</f>
        <v>0</v>
      </c>
      <c r="G74" s="115"/>
      <c r="H74" s="135"/>
      <c r="I74" s="135"/>
      <c r="J74" s="135"/>
      <c r="K74" s="135"/>
      <c r="L74" s="51">
        <f t="shared" ref="L74:L137" si="13">SUM(M74:X74)</f>
        <v>5805</v>
      </c>
      <c r="M74" s="136"/>
      <c r="N74" s="115">
        <v>1350</v>
      </c>
      <c r="O74" s="137"/>
      <c r="P74" s="115">
        <v>3000</v>
      </c>
      <c r="Q74" s="399"/>
      <c r="R74" s="137"/>
      <c r="S74" s="115"/>
      <c r="T74" s="137"/>
      <c r="U74" s="136">
        <v>1455</v>
      </c>
      <c r="V74" s="137"/>
      <c r="W74" s="137"/>
      <c r="X74" s="137"/>
    </row>
    <row r="75" spans="1:24" s="1" customFormat="1" hidden="1">
      <c r="A75" s="122">
        <v>21</v>
      </c>
      <c r="B75" s="103" t="s">
        <v>34</v>
      </c>
      <c r="C75" s="103"/>
      <c r="D75" s="485" t="s">
        <v>210</v>
      </c>
      <c r="E75" s="51">
        <f t="shared" si="11"/>
        <v>13900</v>
      </c>
      <c r="F75" s="51">
        <f t="shared" si="12"/>
        <v>0</v>
      </c>
      <c r="G75" s="115"/>
      <c r="H75" s="135"/>
      <c r="I75" s="135"/>
      <c r="J75" s="135"/>
      <c r="K75" s="135"/>
      <c r="L75" s="51">
        <f t="shared" si="13"/>
        <v>13900</v>
      </c>
      <c r="M75" s="136"/>
      <c r="N75" s="115">
        <v>600</v>
      </c>
      <c r="O75" s="137">
        <v>7700</v>
      </c>
      <c r="P75" s="115"/>
      <c r="Q75" s="399">
        <v>5600</v>
      </c>
      <c r="R75" s="137"/>
      <c r="S75" s="115"/>
      <c r="T75" s="137"/>
      <c r="U75" s="136"/>
      <c r="V75" s="137"/>
      <c r="W75" s="137"/>
      <c r="X75" s="137"/>
    </row>
    <row r="76" spans="1:24" s="1" customFormat="1" hidden="1">
      <c r="A76" s="122">
        <v>23</v>
      </c>
      <c r="B76" s="103" t="s">
        <v>34</v>
      </c>
      <c r="C76" s="103"/>
      <c r="D76" s="104" t="s">
        <v>290</v>
      </c>
      <c r="E76" s="51">
        <f t="shared" si="11"/>
        <v>35911</v>
      </c>
      <c r="F76" s="51">
        <f t="shared" si="12"/>
        <v>35000</v>
      </c>
      <c r="G76" s="115">
        <v>35000</v>
      </c>
      <c r="H76" s="135"/>
      <c r="I76" s="135"/>
      <c r="J76" s="135"/>
      <c r="K76" s="135"/>
      <c r="L76" s="51">
        <f t="shared" si="13"/>
        <v>911</v>
      </c>
      <c r="M76" s="136">
        <v>911</v>
      </c>
      <c r="N76" s="115"/>
      <c r="O76" s="137"/>
      <c r="P76" s="115"/>
      <c r="Q76" s="399"/>
      <c r="R76" s="137"/>
      <c r="S76" s="115"/>
      <c r="T76" s="137"/>
      <c r="U76" s="136"/>
      <c r="V76" s="137"/>
      <c r="W76" s="137"/>
      <c r="X76" s="137"/>
    </row>
    <row r="77" spans="1:24" s="1" customFormat="1" hidden="1">
      <c r="A77" s="122">
        <v>24</v>
      </c>
      <c r="B77" s="103" t="s">
        <v>34</v>
      </c>
      <c r="C77" s="103"/>
      <c r="D77" s="104" t="s">
        <v>292</v>
      </c>
      <c r="E77" s="51">
        <f t="shared" si="11"/>
        <v>813734</v>
      </c>
      <c r="F77" s="51">
        <f t="shared" si="12"/>
        <v>400000</v>
      </c>
      <c r="G77" s="137">
        <v>400000</v>
      </c>
      <c r="H77" s="135"/>
      <c r="I77" s="135"/>
      <c r="J77" s="135"/>
      <c r="K77" s="135"/>
      <c r="L77" s="51">
        <f t="shared" si="13"/>
        <v>413734</v>
      </c>
      <c r="M77" s="136">
        <v>413734</v>
      </c>
      <c r="N77" s="115"/>
      <c r="O77" s="137"/>
      <c r="P77" s="115"/>
      <c r="Q77" s="105"/>
      <c r="R77" s="137"/>
      <c r="S77" s="115"/>
      <c r="T77" s="137"/>
      <c r="U77" s="136"/>
      <c r="V77" s="137"/>
      <c r="W77" s="137"/>
      <c r="X77" s="137"/>
    </row>
    <row r="78" spans="1:24" s="1" customFormat="1" hidden="1">
      <c r="A78" s="122">
        <v>25</v>
      </c>
      <c r="B78" s="103" t="s">
        <v>34</v>
      </c>
      <c r="C78" s="103"/>
      <c r="D78" s="104" t="s">
        <v>291</v>
      </c>
      <c r="E78" s="51">
        <f t="shared" si="11"/>
        <v>36829.345999999998</v>
      </c>
      <c r="F78" s="51">
        <f t="shared" si="12"/>
        <v>0</v>
      </c>
      <c r="G78" s="115"/>
      <c r="H78" s="135"/>
      <c r="I78" s="135"/>
      <c r="J78" s="135"/>
      <c r="K78" s="135"/>
      <c r="L78" s="51">
        <f t="shared" si="13"/>
        <v>36829.345999999998</v>
      </c>
      <c r="M78" s="136">
        <v>24123</v>
      </c>
      <c r="N78" s="115">
        <v>500</v>
      </c>
      <c r="O78" s="137"/>
      <c r="P78" s="115">
        <v>2000</v>
      </c>
      <c r="Q78" s="105"/>
      <c r="R78" s="137"/>
      <c r="S78" s="140">
        <v>4356.3459999999995</v>
      </c>
      <c r="T78" s="137"/>
      <c r="U78" s="136">
        <v>2000</v>
      </c>
      <c r="V78" s="137">
        <v>3000</v>
      </c>
      <c r="W78" s="137"/>
      <c r="X78" s="137">
        <v>850</v>
      </c>
    </row>
    <row r="79" spans="1:24" s="3" customFormat="1" ht="10.5" hidden="1">
      <c r="A79" s="141" t="s">
        <v>252</v>
      </c>
      <c r="B79" s="98" t="s">
        <v>34</v>
      </c>
      <c r="C79" s="98"/>
      <c r="D79" s="132" t="s">
        <v>19</v>
      </c>
      <c r="E79" s="100">
        <f t="shared" si="11"/>
        <v>741450</v>
      </c>
      <c r="F79" s="100">
        <f t="shared" si="12"/>
        <v>455000</v>
      </c>
      <c r="G79" s="101">
        <f>SUM(G80:G97)</f>
        <v>455000</v>
      </c>
      <c r="H79" s="101">
        <f t="shared" ref="H79:X79" si="14">SUM(H80:H97)</f>
        <v>0</v>
      </c>
      <c r="I79" s="101">
        <f t="shared" si="14"/>
        <v>0</v>
      </c>
      <c r="J79" s="101">
        <f t="shared" si="14"/>
        <v>0</v>
      </c>
      <c r="K79" s="101">
        <f t="shared" si="14"/>
        <v>0</v>
      </c>
      <c r="L79" s="100">
        <f t="shared" si="13"/>
        <v>286450</v>
      </c>
      <c r="M79" s="101">
        <f t="shared" si="14"/>
        <v>24786</v>
      </c>
      <c r="N79" s="101">
        <f t="shared" si="14"/>
        <v>11700</v>
      </c>
      <c r="O79" s="101">
        <f t="shared" si="14"/>
        <v>22120</v>
      </c>
      <c r="P79" s="101">
        <f t="shared" si="14"/>
        <v>58980</v>
      </c>
      <c r="Q79" s="101">
        <f t="shared" si="14"/>
        <v>11110</v>
      </c>
      <c r="R79" s="101">
        <f t="shared" si="14"/>
        <v>25950</v>
      </c>
      <c r="S79" s="101">
        <f t="shared" si="14"/>
        <v>21820</v>
      </c>
      <c r="T79" s="101">
        <f t="shared" si="14"/>
        <v>9342</v>
      </c>
      <c r="U79" s="101">
        <f t="shared" si="14"/>
        <v>64572</v>
      </c>
      <c r="V79" s="101">
        <f t="shared" si="14"/>
        <v>8660</v>
      </c>
      <c r="W79" s="101">
        <f t="shared" si="14"/>
        <v>14400</v>
      </c>
      <c r="X79" s="101">
        <f t="shared" si="14"/>
        <v>13010</v>
      </c>
    </row>
    <row r="80" spans="1:24" s="3" customFormat="1" ht="22.5" hidden="1">
      <c r="A80" s="142">
        <v>1</v>
      </c>
      <c r="B80" s="121" t="s">
        <v>34</v>
      </c>
      <c r="C80" s="121"/>
      <c r="D80" s="143" t="s">
        <v>211</v>
      </c>
      <c r="E80" s="51">
        <f t="shared" si="11"/>
        <v>73040</v>
      </c>
      <c r="F80" s="51">
        <f t="shared" si="12"/>
        <v>4200</v>
      </c>
      <c r="G80" s="135">
        <v>4200</v>
      </c>
      <c r="H80" s="135"/>
      <c r="I80" s="135"/>
      <c r="J80" s="135"/>
      <c r="K80" s="135"/>
      <c r="L80" s="51">
        <f t="shared" si="13"/>
        <v>68840</v>
      </c>
      <c r="M80" s="135">
        <v>17000</v>
      </c>
      <c r="N80" s="135">
        <v>2500</v>
      </c>
      <c r="O80" s="135">
        <v>1220</v>
      </c>
      <c r="P80" s="135">
        <v>18000</v>
      </c>
      <c r="Q80" s="135">
        <v>1880</v>
      </c>
      <c r="R80" s="135">
        <v>1120</v>
      </c>
      <c r="S80" s="135">
        <v>4100</v>
      </c>
      <c r="T80" s="135">
        <v>2660</v>
      </c>
      <c r="U80" s="135">
        <v>12450</v>
      </c>
      <c r="V80" s="135">
        <v>3100</v>
      </c>
      <c r="W80" s="135">
        <v>2160</v>
      </c>
      <c r="X80" s="135">
        <v>2650</v>
      </c>
    </row>
    <row r="81" spans="1:24" s="1" customFormat="1" ht="22.5" hidden="1">
      <c r="A81" s="142">
        <v>2</v>
      </c>
      <c r="B81" s="121" t="s">
        <v>34</v>
      </c>
      <c r="C81" s="121" t="s">
        <v>605</v>
      </c>
      <c r="D81" s="143" t="s">
        <v>604</v>
      </c>
      <c r="E81" s="51">
        <f t="shared" si="11"/>
        <v>21950</v>
      </c>
      <c r="F81" s="51">
        <f t="shared" si="12"/>
        <v>8400</v>
      </c>
      <c r="G81" s="135">
        <v>8400</v>
      </c>
      <c r="H81" s="135"/>
      <c r="I81" s="135"/>
      <c r="J81" s="135"/>
      <c r="K81" s="135"/>
      <c r="L81" s="51">
        <f t="shared" si="13"/>
        <v>13550</v>
      </c>
      <c r="M81" s="135"/>
      <c r="N81" s="135"/>
      <c r="O81" s="135"/>
      <c r="P81" s="135">
        <v>8330</v>
      </c>
      <c r="Q81" s="135"/>
      <c r="R81" s="135"/>
      <c r="S81" s="135"/>
      <c r="T81" s="135">
        <v>1560</v>
      </c>
      <c r="U81" s="135"/>
      <c r="V81" s="135"/>
      <c r="W81" s="135"/>
      <c r="X81" s="135">
        <v>3660</v>
      </c>
    </row>
    <row r="82" spans="1:24" s="1" customFormat="1" ht="22.5" hidden="1">
      <c r="A82" s="142">
        <v>3</v>
      </c>
      <c r="B82" s="121" t="s">
        <v>34</v>
      </c>
      <c r="C82" s="121"/>
      <c r="D82" s="144" t="s">
        <v>392</v>
      </c>
      <c r="E82" s="51">
        <f t="shared" si="11"/>
        <v>16480</v>
      </c>
      <c r="F82" s="51">
        <f t="shared" si="12"/>
        <v>8800</v>
      </c>
      <c r="G82" s="145">
        <v>8800</v>
      </c>
      <c r="H82" s="135"/>
      <c r="I82" s="135"/>
      <c r="J82" s="135"/>
      <c r="K82" s="135"/>
      <c r="L82" s="51">
        <f t="shared" si="13"/>
        <v>7680</v>
      </c>
      <c r="M82" s="146"/>
      <c r="N82" s="135"/>
      <c r="O82" s="145">
        <v>1600</v>
      </c>
      <c r="P82" s="145">
        <v>0</v>
      </c>
      <c r="Q82" s="145">
        <v>2560</v>
      </c>
      <c r="R82" s="145"/>
      <c r="S82" s="147"/>
      <c r="T82" s="145"/>
      <c r="U82" s="148"/>
      <c r="V82" s="145"/>
      <c r="W82" s="145"/>
      <c r="X82" s="145">
        <v>3520</v>
      </c>
    </row>
    <row r="83" spans="1:24" ht="22.5" hidden="1">
      <c r="A83" s="142">
        <v>4</v>
      </c>
      <c r="B83" s="121" t="s">
        <v>34</v>
      </c>
      <c r="C83" s="121"/>
      <c r="D83" s="149" t="s">
        <v>50</v>
      </c>
      <c r="E83" s="51">
        <f t="shared" si="11"/>
        <v>9080</v>
      </c>
      <c r="F83" s="51">
        <f t="shared" si="12"/>
        <v>8000</v>
      </c>
      <c r="G83" s="145">
        <v>8000</v>
      </c>
      <c r="H83" s="135"/>
      <c r="I83" s="135"/>
      <c r="J83" s="135"/>
      <c r="K83" s="135"/>
      <c r="L83" s="51">
        <f t="shared" si="13"/>
        <v>1080</v>
      </c>
      <c r="M83" s="146"/>
      <c r="N83" s="135"/>
      <c r="O83" s="145"/>
      <c r="P83" s="145">
        <v>600</v>
      </c>
      <c r="Q83" s="145"/>
      <c r="R83" s="145"/>
      <c r="S83" s="147"/>
      <c r="T83" s="145"/>
      <c r="U83" s="148"/>
      <c r="V83" s="145"/>
      <c r="W83" s="145"/>
      <c r="X83" s="145">
        <v>480</v>
      </c>
    </row>
    <row r="84" spans="1:24" ht="45" hidden="1">
      <c r="A84" s="142">
        <v>5</v>
      </c>
      <c r="B84" s="121" t="s">
        <v>34</v>
      </c>
      <c r="C84" s="121"/>
      <c r="D84" s="149" t="s">
        <v>393</v>
      </c>
      <c r="E84" s="51">
        <f t="shared" si="11"/>
        <v>75250</v>
      </c>
      <c r="F84" s="51">
        <f t="shared" si="12"/>
        <v>12600</v>
      </c>
      <c r="G84" s="145">
        <v>12600</v>
      </c>
      <c r="H84" s="135"/>
      <c r="I84" s="135"/>
      <c r="J84" s="135"/>
      <c r="K84" s="135"/>
      <c r="L84" s="51">
        <f t="shared" si="13"/>
        <v>62650</v>
      </c>
      <c r="M84" s="136">
        <v>7280</v>
      </c>
      <c r="N84" s="135">
        <v>7200</v>
      </c>
      <c r="O84" s="145">
        <v>14300</v>
      </c>
      <c r="P84" s="145">
        <v>2250</v>
      </c>
      <c r="Q84" s="145"/>
      <c r="R84" s="145"/>
      <c r="S84" s="147">
        <v>7080</v>
      </c>
      <c r="T84" s="145"/>
      <c r="U84" s="148">
        <v>24000</v>
      </c>
      <c r="V84" s="145"/>
      <c r="W84" s="145"/>
      <c r="X84" s="145">
        <v>540</v>
      </c>
    </row>
    <row r="85" spans="1:24" ht="45" hidden="1">
      <c r="A85" s="142">
        <v>6</v>
      </c>
      <c r="B85" s="121" t="s">
        <v>34</v>
      </c>
      <c r="C85" s="121"/>
      <c r="D85" s="149" t="s">
        <v>606</v>
      </c>
      <c r="E85" s="51">
        <f t="shared" si="11"/>
        <v>174842</v>
      </c>
      <c r="F85" s="51">
        <f t="shared" si="12"/>
        <v>84800</v>
      </c>
      <c r="G85" s="145">
        <v>84800</v>
      </c>
      <c r="H85" s="135"/>
      <c r="I85" s="135"/>
      <c r="J85" s="135"/>
      <c r="K85" s="135"/>
      <c r="L85" s="51">
        <f t="shared" si="13"/>
        <v>90042</v>
      </c>
      <c r="M85" s="146"/>
      <c r="N85" s="135">
        <v>2000</v>
      </c>
      <c r="O85" s="145"/>
      <c r="P85" s="145">
        <v>7200</v>
      </c>
      <c r="Q85" s="145">
        <v>4170</v>
      </c>
      <c r="R85" s="145">
        <v>24240</v>
      </c>
      <c r="S85" s="147">
        <v>6640</v>
      </c>
      <c r="T85" s="145"/>
      <c r="U85" s="148">
        <v>27872</v>
      </c>
      <c r="V85" s="145">
        <v>4320</v>
      </c>
      <c r="W85" s="145">
        <v>12240</v>
      </c>
      <c r="X85" s="145">
        <v>1360</v>
      </c>
    </row>
    <row r="86" spans="1:24" ht="33.75" hidden="1">
      <c r="A86" s="142">
        <v>7</v>
      </c>
      <c r="B86" s="121" t="s">
        <v>34</v>
      </c>
      <c r="C86" s="121"/>
      <c r="D86" s="149" t="s">
        <v>51</v>
      </c>
      <c r="E86" s="51">
        <f t="shared" si="11"/>
        <v>10000</v>
      </c>
      <c r="F86" s="51">
        <f t="shared" si="12"/>
        <v>10000</v>
      </c>
      <c r="G86" s="145">
        <v>10000</v>
      </c>
      <c r="H86" s="135"/>
      <c r="I86" s="135"/>
      <c r="J86" s="135"/>
      <c r="K86" s="135"/>
      <c r="L86" s="51">
        <f t="shared" si="13"/>
        <v>0</v>
      </c>
      <c r="M86" s="150"/>
      <c r="N86" s="135"/>
      <c r="O86" s="151"/>
      <c r="P86" s="151"/>
      <c r="Q86" s="145"/>
      <c r="R86" s="151"/>
      <c r="S86" s="147"/>
      <c r="T86" s="151"/>
      <c r="U86" s="148"/>
      <c r="V86" s="151"/>
      <c r="W86" s="151"/>
      <c r="X86" s="145"/>
    </row>
    <row r="87" spans="1:24" ht="22.5" hidden="1">
      <c r="A87" s="142">
        <v>8</v>
      </c>
      <c r="B87" s="121" t="s">
        <v>34</v>
      </c>
      <c r="C87" s="121"/>
      <c r="D87" s="149" t="s">
        <v>395</v>
      </c>
      <c r="E87" s="51">
        <f t="shared" si="11"/>
        <v>1000</v>
      </c>
      <c r="F87" s="51">
        <f t="shared" si="12"/>
        <v>1000</v>
      </c>
      <c r="G87" s="145">
        <v>1000</v>
      </c>
      <c r="H87" s="135"/>
      <c r="I87" s="135"/>
      <c r="J87" s="135"/>
      <c r="K87" s="135"/>
      <c r="L87" s="51">
        <f t="shared" si="13"/>
        <v>0</v>
      </c>
      <c r="M87" s="150"/>
      <c r="N87" s="135"/>
      <c r="O87" s="151"/>
      <c r="P87" s="151"/>
      <c r="Q87" s="145"/>
      <c r="R87" s="151"/>
      <c r="S87" s="147"/>
      <c r="T87" s="151"/>
      <c r="U87" s="148"/>
      <c r="V87" s="151"/>
      <c r="W87" s="151"/>
      <c r="X87" s="145"/>
    </row>
    <row r="88" spans="1:24" ht="33.75" hidden="1">
      <c r="A88" s="142">
        <v>9</v>
      </c>
      <c r="B88" s="121" t="s">
        <v>34</v>
      </c>
      <c r="C88" s="121"/>
      <c r="D88" s="149" t="s">
        <v>52</v>
      </c>
      <c r="E88" s="51">
        <f t="shared" si="11"/>
        <v>3000</v>
      </c>
      <c r="F88" s="51">
        <f t="shared" si="12"/>
        <v>600</v>
      </c>
      <c r="G88" s="145">
        <v>600</v>
      </c>
      <c r="H88" s="135"/>
      <c r="I88" s="135"/>
      <c r="J88" s="135"/>
      <c r="K88" s="135"/>
      <c r="L88" s="51">
        <f t="shared" si="13"/>
        <v>2400</v>
      </c>
      <c r="M88" s="146"/>
      <c r="N88" s="135"/>
      <c r="O88" s="145"/>
      <c r="P88" s="145">
        <v>1600</v>
      </c>
      <c r="Q88" s="145"/>
      <c r="R88" s="145"/>
      <c r="S88" s="147"/>
      <c r="T88" s="145"/>
      <c r="U88" s="148"/>
      <c r="V88" s="145"/>
      <c r="W88" s="145"/>
      <c r="X88" s="145">
        <v>800</v>
      </c>
    </row>
    <row r="89" spans="1:24" ht="22.5" hidden="1">
      <c r="A89" s="142">
        <v>10</v>
      </c>
      <c r="B89" s="121" t="s">
        <v>34</v>
      </c>
      <c r="C89" s="121"/>
      <c r="D89" s="149" t="s">
        <v>396</v>
      </c>
      <c r="E89" s="51">
        <f t="shared" si="11"/>
        <v>600</v>
      </c>
      <c r="F89" s="51">
        <f t="shared" si="12"/>
        <v>600</v>
      </c>
      <c r="G89" s="145">
        <v>600</v>
      </c>
      <c r="H89" s="135"/>
      <c r="I89" s="135"/>
      <c r="J89" s="135"/>
      <c r="K89" s="135"/>
      <c r="L89" s="51">
        <f t="shared" si="13"/>
        <v>0</v>
      </c>
      <c r="M89" s="146"/>
      <c r="N89" s="135"/>
      <c r="O89" s="145"/>
      <c r="P89" s="145"/>
      <c r="Q89" s="145"/>
      <c r="R89" s="145"/>
      <c r="S89" s="147"/>
      <c r="T89" s="145"/>
      <c r="U89" s="148"/>
      <c r="V89" s="145"/>
      <c r="W89" s="145"/>
      <c r="X89" s="145"/>
    </row>
    <row r="90" spans="1:24" ht="22.5" hidden="1">
      <c r="A90" s="142">
        <v>11</v>
      </c>
      <c r="B90" s="121" t="s">
        <v>34</v>
      </c>
      <c r="C90" s="121"/>
      <c r="D90" s="149" t="s">
        <v>36</v>
      </c>
      <c r="E90" s="51">
        <f t="shared" si="11"/>
        <v>21426</v>
      </c>
      <c r="F90" s="51">
        <f t="shared" si="12"/>
        <v>4000</v>
      </c>
      <c r="G90" s="145">
        <v>4000</v>
      </c>
      <c r="H90" s="135"/>
      <c r="I90" s="135"/>
      <c r="J90" s="135"/>
      <c r="K90" s="135"/>
      <c r="L90" s="51">
        <f t="shared" si="13"/>
        <v>17426</v>
      </c>
      <c r="M90" s="136">
        <v>506</v>
      </c>
      <c r="N90" s="135"/>
      <c r="O90" s="145"/>
      <c r="P90" s="145">
        <v>16000</v>
      </c>
      <c r="Q90" s="145"/>
      <c r="R90" s="145">
        <v>590</v>
      </c>
      <c r="S90" s="147"/>
      <c r="T90" s="145">
        <v>330</v>
      </c>
      <c r="U90" s="148"/>
      <c r="V90" s="145"/>
      <c r="W90" s="145"/>
      <c r="X90" s="145"/>
    </row>
    <row r="91" spans="1:24" hidden="1">
      <c r="A91" s="142">
        <v>13</v>
      </c>
      <c r="B91" s="121" t="s">
        <v>34</v>
      </c>
      <c r="C91" s="121"/>
      <c r="D91" s="149" t="s">
        <v>53</v>
      </c>
      <c r="E91" s="51">
        <f t="shared" si="11"/>
        <v>17750</v>
      </c>
      <c r="F91" s="51">
        <f t="shared" si="12"/>
        <v>1000</v>
      </c>
      <c r="G91" s="145">
        <v>1000</v>
      </c>
      <c r="H91" s="135"/>
      <c r="I91" s="135"/>
      <c r="J91" s="135"/>
      <c r="K91" s="135"/>
      <c r="L91" s="51">
        <f t="shared" si="13"/>
        <v>16750</v>
      </c>
      <c r="M91" s="146"/>
      <c r="N91" s="135"/>
      <c r="O91" s="145">
        <v>5000</v>
      </c>
      <c r="P91" s="145">
        <v>5000</v>
      </c>
      <c r="Q91" s="145">
        <v>2500</v>
      </c>
      <c r="R91" s="145"/>
      <c r="S91" s="147">
        <v>4000</v>
      </c>
      <c r="T91" s="145"/>
      <c r="U91" s="148">
        <v>250</v>
      </c>
      <c r="V91" s="145"/>
      <c r="W91" s="145"/>
      <c r="X91" s="145"/>
    </row>
    <row r="92" spans="1:24" ht="22.5" hidden="1">
      <c r="A92" s="142">
        <v>14</v>
      </c>
      <c r="B92" s="121" t="s">
        <v>34</v>
      </c>
      <c r="C92" s="121"/>
      <c r="D92" s="149" t="s">
        <v>397</v>
      </c>
      <c r="E92" s="51">
        <f t="shared" si="11"/>
        <v>82240</v>
      </c>
      <c r="F92" s="51">
        <f t="shared" si="12"/>
        <v>81000</v>
      </c>
      <c r="G92" s="145">
        <v>81000</v>
      </c>
      <c r="H92" s="135"/>
      <c r="I92" s="135"/>
      <c r="J92" s="135"/>
      <c r="K92" s="135"/>
      <c r="L92" s="51">
        <f t="shared" si="13"/>
        <v>1240</v>
      </c>
      <c r="M92" s="146"/>
      <c r="N92" s="135"/>
      <c r="O92" s="145"/>
      <c r="P92" s="145"/>
      <c r="Q92" s="145"/>
      <c r="R92" s="145"/>
      <c r="S92" s="147"/>
      <c r="T92" s="145"/>
      <c r="U92" s="148"/>
      <c r="V92" s="145">
        <v>1240</v>
      </c>
      <c r="W92" s="145"/>
      <c r="X92" s="145"/>
    </row>
    <row r="93" spans="1:24" hidden="1">
      <c r="A93" s="142">
        <v>15</v>
      </c>
      <c r="B93" s="121" t="s">
        <v>34</v>
      </c>
      <c r="C93" s="121"/>
      <c r="D93" s="106" t="s">
        <v>398</v>
      </c>
      <c r="E93" s="51">
        <f t="shared" si="11"/>
        <v>20000</v>
      </c>
      <c r="F93" s="51">
        <f t="shared" si="12"/>
        <v>20000</v>
      </c>
      <c r="G93" s="145">
        <v>20000</v>
      </c>
      <c r="H93" s="135"/>
      <c r="I93" s="135"/>
      <c r="J93" s="135"/>
      <c r="K93" s="135"/>
      <c r="L93" s="51">
        <f t="shared" si="13"/>
        <v>0</v>
      </c>
      <c r="M93" s="146"/>
      <c r="N93" s="135"/>
      <c r="O93" s="145"/>
      <c r="P93" s="145"/>
      <c r="Q93" s="145"/>
      <c r="R93" s="145"/>
      <c r="S93" s="147"/>
      <c r="T93" s="145"/>
      <c r="U93" s="148"/>
      <c r="V93" s="145"/>
      <c r="W93" s="145"/>
      <c r="X93" s="145"/>
    </row>
    <row r="94" spans="1:24" hidden="1">
      <c r="A94" s="142">
        <v>16</v>
      </c>
      <c r="B94" s="121" t="s">
        <v>34</v>
      </c>
      <c r="C94" s="121"/>
      <c r="D94" s="106" t="s">
        <v>292</v>
      </c>
      <c r="E94" s="51">
        <f t="shared" si="11"/>
        <v>60000</v>
      </c>
      <c r="F94" s="51">
        <f t="shared" si="12"/>
        <v>60000</v>
      </c>
      <c r="G94" s="145">
        <v>60000</v>
      </c>
      <c r="H94" s="152"/>
      <c r="I94" s="152"/>
      <c r="J94" s="152"/>
      <c r="K94" s="152"/>
      <c r="L94" s="51">
        <f t="shared" si="13"/>
        <v>0</v>
      </c>
      <c r="M94" s="148"/>
      <c r="N94" s="152"/>
      <c r="O94" s="145"/>
      <c r="P94" s="145"/>
      <c r="Q94" s="153"/>
      <c r="R94" s="145"/>
      <c r="S94" s="147"/>
      <c r="T94" s="145"/>
      <c r="U94" s="148"/>
      <c r="V94" s="145"/>
      <c r="W94" s="145"/>
      <c r="X94" s="145"/>
    </row>
    <row r="95" spans="1:24" ht="22.5" hidden="1">
      <c r="A95" s="142">
        <v>17</v>
      </c>
      <c r="B95" s="121" t="s">
        <v>34</v>
      </c>
      <c r="C95" s="121"/>
      <c r="D95" s="106" t="s">
        <v>399</v>
      </c>
      <c r="E95" s="51">
        <f t="shared" si="11"/>
        <v>50000</v>
      </c>
      <c r="F95" s="51">
        <f t="shared" si="12"/>
        <v>50000</v>
      </c>
      <c r="G95" s="145">
        <v>50000</v>
      </c>
      <c r="H95" s="152"/>
      <c r="I95" s="152"/>
      <c r="J95" s="152"/>
      <c r="K95" s="152"/>
      <c r="L95" s="51">
        <f t="shared" si="13"/>
        <v>0</v>
      </c>
      <c r="M95" s="148"/>
      <c r="N95" s="152"/>
      <c r="O95" s="145"/>
      <c r="P95" s="145"/>
      <c r="Q95" s="153"/>
      <c r="R95" s="145"/>
      <c r="S95" s="147"/>
      <c r="T95" s="145"/>
      <c r="U95" s="148"/>
      <c r="V95" s="145"/>
      <c r="W95" s="145"/>
      <c r="X95" s="154"/>
    </row>
    <row r="96" spans="1:24" hidden="1">
      <c r="A96" s="142">
        <v>18</v>
      </c>
      <c r="B96" s="121" t="s">
        <v>34</v>
      </c>
      <c r="C96" s="121"/>
      <c r="D96" s="106" t="s">
        <v>501</v>
      </c>
      <c r="E96" s="51">
        <f t="shared" si="11"/>
        <v>54792</v>
      </c>
      <c r="F96" s="51">
        <f t="shared" si="12"/>
        <v>50000</v>
      </c>
      <c r="G96" s="145">
        <v>50000</v>
      </c>
      <c r="H96" s="152"/>
      <c r="I96" s="152"/>
      <c r="J96" s="152"/>
      <c r="K96" s="152"/>
      <c r="L96" s="51">
        <f t="shared" si="13"/>
        <v>4792</v>
      </c>
      <c r="M96" s="148"/>
      <c r="N96" s="152"/>
      <c r="O96" s="155"/>
      <c r="P96" s="145"/>
      <c r="Q96" s="153"/>
      <c r="R96" s="145"/>
      <c r="S96" s="147"/>
      <c r="T96" s="145">
        <v>4792</v>
      </c>
      <c r="U96" s="148"/>
      <c r="V96" s="155"/>
      <c r="W96" s="145"/>
      <c r="X96" s="154"/>
    </row>
    <row r="97" spans="1:24" hidden="1">
      <c r="A97" s="142">
        <v>19</v>
      </c>
      <c r="B97" s="121" t="s">
        <v>34</v>
      </c>
      <c r="C97" s="121"/>
      <c r="D97" s="106" t="s">
        <v>400</v>
      </c>
      <c r="E97" s="51">
        <f t="shared" si="11"/>
        <v>50000</v>
      </c>
      <c r="F97" s="51">
        <f t="shared" si="12"/>
        <v>50000</v>
      </c>
      <c r="G97" s="145">
        <v>50000</v>
      </c>
      <c r="H97" s="135"/>
      <c r="I97" s="135"/>
      <c r="J97" s="135"/>
      <c r="K97" s="135"/>
      <c r="L97" s="51">
        <f t="shared" si="13"/>
        <v>0</v>
      </c>
      <c r="M97" s="146"/>
      <c r="N97" s="135"/>
      <c r="P97" s="145"/>
      <c r="Q97" s="153"/>
      <c r="R97" s="145"/>
      <c r="S97" s="147"/>
      <c r="T97" s="145"/>
      <c r="U97" s="148"/>
      <c r="W97" s="145"/>
      <c r="X97" s="105"/>
    </row>
    <row r="98" spans="1:24" s="3" customFormat="1" ht="10.5" hidden="1">
      <c r="A98" s="156" t="s">
        <v>253</v>
      </c>
      <c r="B98" s="98" t="s">
        <v>34</v>
      </c>
      <c r="C98" s="98"/>
      <c r="D98" s="157" t="s">
        <v>20</v>
      </c>
      <c r="E98" s="100">
        <f t="shared" si="11"/>
        <v>1333970</v>
      </c>
      <c r="F98" s="100">
        <f t="shared" si="12"/>
        <v>450000</v>
      </c>
      <c r="G98" s="158">
        <f>SUM(G99:G118)</f>
        <v>450000</v>
      </c>
      <c r="H98" s="158">
        <f t="shared" ref="H98:X98" si="15">SUM(H99:H118)</f>
        <v>0</v>
      </c>
      <c r="I98" s="158">
        <f t="shared" si="15"/>
        <v>0</v>
      </c>
      <c r="J98" s="158">
        <f t="shared" si="15"/>
        <v>0</v>
      </c>
      <c r="K98" s="158">
        <f t="shared" si="15"/>
        <v>0</v>
      </c>
      <c r="L98" s="100">
        <f t="shared" si="13"/>
        <v>883970</v>
      </c>
      <c r="M98" s="158">
        <f t="shared" si="15"/>
        <v>24963</v>
      </c>
      <c r="N98" s="158">
        <f t="shared" si="15"/>
        <v>39658</v>
      </c>
      <c r="O98" s="158">
        <f t="shared" si="15"/>
        <v>76459</v>
      </c>
      <c r="P98" s="158">
        <f t="shared" si="15"/>
        <v>122400</v>
      </c>
      <c r="Q98" s="158">
        <f t="shared" si="15"/>
        <v>57440</v>
      </c>
      <c r="R98" s="158">
        <f t="shared" si="15"/>
        <v>69128</v>
      </c>
      <c r="S98" s="158">
        <f t="shared" si="15"/>
        <v>129060</v>
      </c>
      <c r="T98" s="158">
        <f t="shared" si="15"/>
        <v>77480</v>
      </c>
      <c r="U98" s="158">
        <f t="shared" si="15"/>
        <v>97052</v>
      </c>
      <c r="V98" s="158">
        <f t="shared" si="15"/>
        <v>68560</v>
      </c>
      <c r="W98" s="158">
        <f t="shared" si="15"/>
        <v>60440</v>
      </c>
      <c r="X98" s="158">
        <f t="shared" si="15"/>
        <v>61330</v>
      </c>
    </row>
    <row r="99" spans="1:24" hidden="1">
      <c r="A99" s="159">
        <v>1</v>
      </c>
      <c r="B99" s="103" t="s">
        <v>34</v>
      </c>
      <c r="C99" s="103"/>
      <c r="D99" s="160" t="s">
        <v>57</v>
      </c>
      <c r="E99" s="51">
        <f t="shared" si="11"/>
        <v>47280</v>
      </c>
      <c r="F99" s="51">
        <f t="shared" si="12"/>
        <v>11600</v>
      </c>
      <c r="G99" s="161">
        <v>11600</v>
      </c>
      <c r="H99" s="162"/>
      <c r="I99" s="162"/>
      <c r="J99" s="162"/>
      <c r="K99" s="162"/>
      <c r="L99" s="51">
        <f t="shared" si="13"/>
        <v>35680</v>
      </c>
      <c r="M99" s="136"/>
      <c r="N99" s="135">
        <v>0</v>
      </c>
      <c r="O99" s="145">
        <v>6000</v>
      </c>
      <c r="P99" s="145">
        <v>5000</v>
      </c>
      <c r="Q99" s="145">
        <v>0</v>
      </c>
      <c r="R99" s="145">
        <v>4000</v>
      </c>
      <c r="S99" s="145">
        <v>6000</v>
      </c>
      <c r="T99" s="145"/>
      <c r="U99" s="145">
        <v>0</v>
      </c>
      <c r="V99" s="145">
        <v>6000</v>
      </c>
      <c r="W99" s="145">
        <v>4000</v>
      </c>
      <c r="X99" s="137">
        <v>4680</v>
      </c>
    </row>
    <row r="100" spans="1:24" hidden="1">
      <c r="A100" s="159">
        <v>2</v>
      </c>
      <c r="B100" s="103" t="s">
        <v>34</v>
      </c>
      <c r="C100" s="103"/>
      <c r="D100" s="160" t="s">
        <v>58</v>
      </c>
      <c r="E100" s="51">
        <f t="shared" si="11"/>
        <v>262640</v>
      </c>
      <c r="F100" s="51">
        <f t="shared" si="12"/>
        <v>136000</v>
      </c>
      <c r="G100" s="161">
        <v>136000</v>
      </c>
      <c r="H100" s="162"/>
      <c r="I100" s="162"/>
      <c r="J100" s="162"/>
      <c r="K100" s="162"/>
      <c r="L100" s="51">
        <f t="shared" si="13"/>
        <v>126640</v>
      </c>
      <c r="M100" s="136">
        <v>2880</v>
      </c>
      <c r="N100" s="152">
        <v>5760</v>
      </c>
      <c r="O100" s="145">
        <v>12000</v>
      </c>
      <c r="P100" s="145">
        <v>28000</v>
      </c>
      <c r="Q100" s="163">
        <v>12000</v>
      </c>
      <c r="R100" s="145">
        <v>10000</v>
      </c>
      <c r="S100" s="145">
        <v>32000</v>
      </c>
      <c r="T100" s="145"/>
      <c r="U100" s="145">
        <v>0</v>
      </c>
      <c r="V100" s="145">
        <v>12000</v>
      </c>
      <c r="W100" s="145">
        <v>12000</v>
      </c>
      <c r="X100" s="137">
        <v>0</v>
      </c>
    </row>
    <row r="101" spans="1:24" ht="22.5" hidden="1">
      <c r="A101" s="159">
        <v>3</v>
      </c>
      <c r="B101" s="103" t="s">
        <v>34</v>
      </c>
      <c r="C101" s="103"/>
      <c r="D101" s="160" t="s">
        <v>230</v>
      </c>
      <c r="E101" s="51">
        <f t="shared" si="11"/>
        <v>71272</v>
      </c>
      <c r="F101" s="51">
        <f t="shared" si="12"/>
        <v>8000</v>
      </c>
      <c r="G101" s="164">
        <v>8000</v>
      </c>
      <c r="H101" s="164"/>
      <c r="I101" s="164"/>
      <c r="J101" s="164"/>
      <c r="K101" s="164"/>
      <c r="L101" s="51">
        <f t="shared" si="13"/>
        <v>63272</v>
      </c>
      <c r="M101" s="152">
        <v>0</v>
      </c>
      <c r="N101" s="152">
        <v>0</v>
      </c>
      <c r="O101" s="152">
        <v>2000</v>
      </c>
      <c r="P101" s="152">
        <v>4000</v>
      </c>
      <c r="Q101" s="152">
        <v>0</v>
      </c>
      <c r="R101" s="152">
        <v>0</v>
      </c>
      <c r="S101" s="152">
        <v>1200</v>
      </c>
      <c r="T101" s="152">
        <v>15840</v>
      </c>
      <c r="U101" s="152">
        <v>22552</v>
      </c>
      <c r="V101" s="152">
        <v>6640</v>
      </c>
      <c r="W101" s="152">
        <v>1440</v>
      </c>
      <c r="X101" s="152">
        <v>9600</v>
      </c>
    </row>
    <row r="102" spans="1:24" hidden="1">
      <c r="A102" s="159">
        <v>4</v>
      </c>
      <c r="B102" s="103" t="s">
        <v>34</v>
      </c>
      <c r="C102" s="103"/>
      <c r="D102" s="160" t="s">
        <v>59</v>
      </c>
      <c r="E102" s="51">
        <f t="shared" si="11"/>
        <v>131540</v>
      </c>
      <c r="F102" s="51">
        <f t="shared" si="12"/>
        <v>0</v>
      </c>
      <c r="G102" s="161"/>
      <c r="H102" s="162"/>
      <c r="I102" s="162"/>
      <c r="J102" s="162"/>
      <c r="K102" s="162"/>
      <c r="L102" s="51">
        <f t="shared" si="13"/>
        <v>131540</v>
      </c>
      <c r="M102" s="165"/>
      <c r="N102" s="135">
        <v>4000</v>
      </c>
      <c r="O102" s="145">
        <v>25000</v>
      </c>
      <c r="P102" s="145">
        <v>30000</v>
      </c>
      <c r="Q102" s="145">
        <v>0</v>
      </c>
      <c r="R102" s="145">
        <v>22100</v>
      </c>
      <c r="S102" s="145">
        <v>30000</v>
      </c>
      <c r="T102" s="145"/>
      <c r="U102" s="145">
        <v>10000</v>
      </c>
      <c r="V102" s="145">
        <v>10440</v>
      </c>
      <c r="W102" s="145"/>
      <c r="X102" s="137">
        <v>0</v>
      </c>
    </row>
    <row r="103" spans="1:24" hidden="1">
      <c r="A103" s="159">
        <v>5</v>
      </c>
      <c r="B103" s="103" t="s">
        <v>34</v>
      </c>
      <c r="C103" s="103"/>
      <c r="D103" s="160" t="s">
        <v>60</v>
      </c>
      <c r="E103" s="51">
        <f t="shared" si="11"/>
        <v>10000</v>
      </c>
      <c r="F103" s="51">
        <f t="shared" si="12"/>
        <v>10000</v>
      </c>
      <c r="G103" s="161">
        <v>10000</v>
      </c>
      <c r="H103" s="162"/>
      <c r="I103" s="162"/>
      <c r="J103" s="162"/>
      <c r="K103" s="162"/>
      <c r="L103" s="51">
        <f t="shared" si="13"/>
        <v>0</v>
      </c>
      <c r="M103" s="165"/>
      <c r="N103" s="135">
        <v>0</v>
      </c>
      <c r="O103" s="145"/>
      <c r="P103" s="145"/>
      <c r="Q103" s="145">
        <v>0</v>
      </c>
      <c r="R103" s="145"/>
      <c r="S103" s="145"/>
      <c r="T103" s="145"/>
      <c r="U103" s="145">
        <v>0</v>
      </c>
      <c r="V103" s="145"/>
      <c r="W103" s="145"/>
      <c r="X103" s="137">
        <v>0</v>
      </c>
    </row>
    <row r="104" spans="1:24" hidden="1">
      <c r="A104" s="159">
        <v>6</v>
      </c>
      <c r="B104" s="103" t="s">
        <v>34</v>
      </c>
      <c r="C104" s="103"/>
      <c r="D104" s="160" t="s">
        <v>61</v>
      </c>
      <c r="E104" s="51">
        <f t="shared" si="11"/>
        <v>49300</v>
      </c>
      <c r="F104" s="51">
        <f t="shared" si="12"/>
        <v>18720</v>
      </c>
      <c r="G104" s="161">
        <v>18720</v>
      </c>
      <c r="H104" s="162"/>
      <c r="I104" s="162"/>
      <c r="J104" s="162"/>
      <c r="K104" s="162"/>
      <c r="L104" s="51">
        <f t="shared" si="13"/>
        <v>30580</v>
      </c>
      <c r="M104" s="165"/>
      <c r="N104" s="135">
        <v>0</v>
      </c>
      <c r="O104" s="166">
        <v>5200</v>
      </c>
      <c r="P104" s="166">
        <v>5000</v>
      </c>
      <c r="Q104" s="166">
        <v>0</v>
      </c>
      <c r="R104" s="166">
        <v>6240</v>
      </c>
      <c r="S104" s="166">
        <v>3900</v>
      </c>
      <c r="T104" s="166"/>
      <c r="U104" s="145">
        <v>0</v>
      </c>
      <c r="V104" s="166">
        <v>6240</v>
      </c>
      <c r="W104" s="166">
        <v>4000</v>
      </c>
      <c r="X104" s="167">
        <v>0</v>
      </c>
    </row>
    <row r="105" spans="1:24" hidden="1">
      <c r="A105" s="159">
        <v>7</v>
      </c>
      <c r="B105" s="103" t="s">
        <v>34</v>
      </c>
      <c r="C105" s="103"/>
      <c r="D105" s="160" t="s">
        <v>62</v>
      </c>
      <c r="E105" s="51">
        <f t="shared" si="11"/>
        <v>248400</v>
      </c>
      <c r="F105" s="51">
        <f t="shared" si="12"/>
        <v>0</v>
      </c>
      <c r="G105" s="161"/>
      <c r="H105" s="162"/>
      <c r="I105" s="162"/>
      <c r="J105" s="162"/>
      <c r="K105" s="162"/>
      <c r="L105" s="51">
        <f t="shared" si="13"/>
        <v>248400</v>
      </c>
      <c r="M105" s="136">
        <v>5400</v>
      </c>
      <c r="N105" s="135">
        <v>10800</v>
      </c>
      <c r="O105" s="145">
        <v>18000</v>
      </c>
      <c r="P105" s="145">
        <v>28800</v>
      </c>
      <c r="Q105" s="145">
        <v>28800</v>
      </c>
      <c r="R105" s="145">
        <v>14400</v>
      </c>
      <c r="S105" s="145">
        <v>36000</v>
      </c>
      <c r="T105" s="145">
        <v>19800</v>
      </c>
      <c r="U105" s="145">
        <v>27000</v>
      </c>
      <c r="V105" s="145">
        <v>19800</v>
      </c>
      <c r="W105" s="145">
        <v>19800</v>
      </c>
      <c r="X105" s="137">
        <v>19800</v>
      </c>
    </row>
    <row r="106" spans="1:24" hidden="1">
      <c r="A106" s="159">
        <v>9</v>
      </c>
      <c r="B106" s="103" t="s">
        <v>34</v>
      </c>
      <c r="C106" s="103"/>
      <c r="D106" s="160" t="s">
        <v>63</v>
      </c>
      <c r="E106" s="51">
        <f t="shared" si="11"/>
        <v>128628</v>
      </c>
      <c r="F106" s="51">
        <f t="shared" si="12"/>
        <v>69760</v>
      </c>
      <c r="G106" s="161">
        <v>69760</v>
      </c>
      <c r="H106" s="162"/>
      <c r="I106" s="162"/>
      <c r="J106" s="162"/>
      <c r="K106" s="162"/>
      <c r="L106" s="51">
        <f t="shared" si="13"/>
        <v>58868</v>
      </c>
      <c r="M106" s="136"/>
      <c r="N106" s="135">
        <v>7578</v>
      </c>
      <c r="O106" s="145">
        <v>1180</v>
      </c>
      <c r="P106" s="145">
        <v>2600</v>
      </c>
      <c r="Q106" s="145">
        <v>2200</v>
      </c>
      <c r="R106" s="145">
        <v>1440</v>
      </c>
      <c r="S106" s="145">
        <v>2960</v>
      </c>
      <c r="T106" s="145">
        <v>16260</v>
      </c>
      <c r="U106" s="145">
        <v>18000</v>
      </c>
      <c r="V106" s="145"/>
      <c r="W106" s="145">
        <v>4800</v>
      </c>
      <c r="X106" s="137">
        <v>1850</v>
      </c>
    </row>
    <row r="107" spans="1:24" hidden="1">
      <c r="A107" s="159">
        <v>10</v>
      </c>
      <c r="B107" s="103" t="s">
        <v>34</v>
      </c>
      <c r="C107" s="103"/>
      <c r="D107" s="160" t="s">
        <v>64</v>
      </c>
      <c r="E107" s="51">
        <f t="shared" si="11"/>
        <v>5000</v>
      </c>
      <c r="F107" s="51">
        <f t="shared" si="12"/>
        <v>5000</v>
      </c>
      <c r="G107" s="161">
        <v>5000</v>
      </c>
      <c r="H107" s="162"/>
      <c r="I107" s="162"/>
      <c r="J107" s="162"/>
      <c r="K107" s="162"/>
      <c r="L107" s="51">
        <f t="shared" si="13"/>
        <v>0</v>
      </c>
      <c r="M107" s="136"/>
      <c r="N107" s="135"/>
      <c r="O107" s="145"/>
      <c r="P107" s="145"/>
      <c r="Q107" s="145">
        <v>0</v>
      </c>
      <c r="R107" s="145"/>
      <c r="S107" s="145"/>
      <c r="T107" s="145"/>
      <c r="U107" s="145">
        <v>0</v>
      </c>
      <c r="V107" s="145"/>
      <c r="W107" s="145"/>
      <c r="X107" s="137">
        <v>0</v>
      </c>
    </row>
    <row r="108" spans="1:24" hidden="1">
      <c r="A108" s="159">
        <v>11</v>
      </c>
      <c r="B108" s="103" t="s">
        <v>34</v>
      </c>
      <c r="C108" s="103"/>
      <c r="D108" s="168" t="s">
        <v>65</v>
      </c>
      <c r="E108" s="51">
        <f t="shared" si="11"/>
        <v>19200</v>
      </c>
      <c r="F108" s="51">
        <f t="shared" si="12"/>
        <v>0</v>
      </c>
      <c r="G108" s="161"/>
      <c r="H108" s="162"/>
      <c r="I108" s="162"/>
      <c r="J108" s="162"/>
      <c r="K108" s="162"/>
      <c r="L108" s="51">
        <f t="shared" si="13"/>
        <v>19200</v>
      </c>
      <c r="M108" s="169"/>
      <c r="N108" s="135">
        <v>0</v>
      </c>
      <c r="O108" s="170"/>
      <c r="P108" s="170"/>
      <c r="Q108" s="170">
        <v>0</v>
      </c>
      <c r="R108" s="170"/>
      <c r="S108" s="170"/>
      <c r="T108" s="170"/>
      <c r="U108" s="170">
        <v>0</v>
      </c>
      <c r="V108" s="170"/>
      <c r="W108" s="170"/>
      <c r="X108" s="171">
        <v>19200</v>
      </c>
    </row>
    <row r="109" spans="1:24" hidden="1">
      <c r="A109" s="172">
        <v>12</v>
      </c>
      <c r="B109" s="103" t="s">
        <v>34</v>
      </c>
      <c r="C109" s="103"/>
      <c r="D109" s="173" t="s">
        <v>66</v>
      </c>
      <c r="E109" s="51">
        <f t="shared" si="11"/>
        <v>12000</v>
      </c>
      <c r="F109" s="51">
        <f t="shared" si="12"/>
        <v>0</v>
      </c>
      <c r="G109" s="170"/>
      <c r="H109" s="135"/>
      <c r="I109" s="135"/>
      <c r="J109" s="135"/>
      <c r="K109" s="135"/>
      <c r="L109" s="51">
        <f t="shared" si="13"/>
        <v>12000</v>
      </c>
      <c r="M109" s="169"/>
      <c r="N109" s="135">
        <v>3120</v>
      </c>
      <c r="O109" s="170"/>
      <c r="P109" s="170"/>
      <c r="Q109" s="163">
        <v>2560</v>
      </c>
      <c r="R109" s="170"/>
      <c r="S109" s="170"/>
      <c r="T109" s="170">
        <v>1480</v>
      </c>
      <c r="U109" s="170">
        <v>0</v>
      </c>
      <c r="V109" s="170">
        <v>2440</v>
      </c>
      <c r="W109" s="170">
        <v>2400</v>
      </c>
      <c r="X109" s="171">
        <v>0</v>
      </c>
    </row>
    <row r="110" spans="1:24" hidden="1">
      <c r="A110" s="172">
        <v>13</v>
      </c>
      <c r="B110" s="103" t="s">
        <v>34</v>
      </c>
      <c r="C110" s="103"/>
      <c r="D110" s="174" t="s">
        <v>231</v>
      </c>
      <c r="E110" s="51">
        <f t="shared" si="11"/>
        <v>20639</v>
      </c>
      <c r="F110" s="51">
        <f t="shared" si="12"/>
        <v>0</v>
      </c>
      <c r="G110" s="170"/>
      <c r="H110" s="135"/>
      <c r="I110" s="135"/>
      <c r="J110" s="135"/>
      <c r="K110" s="135"/>
      <c r="L110" s="51">
        <f t="shared" si="13"/>
        <v>20639</v>
      </c>
      <c r="M110" s="169">
        <v>530</v>
      </c>
      <c r="N110" s="135">
        <v>1200</v>
      </c>
      <c r="O110" s="175">
        <v>1079</v>
      </c>
      <c r="P110" s="170">
        <v>5000</v>
      </c>
      <c r="Q110" s="170">
        <v>0</v>
      </c>
      <c r="R110" s="170"/>
      <c r="S110" s="170">
        <v>5000</v>
      </c>
      <c r="T110" s="170">
        <v>330</v>
      </c>
      <c r="U110" s="170">
        <v>7500</v>
      </c>
      <c r="V110" s="170"/>
      <c r="W110" s="170"/>
      <c r="X110" s="171">
        <v>0</v>
      </c>
    </row>
    <row r="111" spans="1:24" hidden="1">
      <c r="A111" s="172">
        <v>15</v>
      </c>
      <c r="B111" s="103" t="s">
        <v>34</v>
      </c>
      <c r="C111" s="103"/>
      <c r="D111" s="174" t="s">
        <v>67</v>
      </c>
      <c r="E111" s="51">
        <f t="shared" si="11"/>
        <v>15000</v>
      </c>
      <c r="F111" s="51">
        <f t="shared" si="12"/>
        <v>0</v>
      </c>
      <c r="G111" s="170"/>
      <c r="H111" s="135"/>
      <c r="I111" s="135"/>
      <c r="J111" s="135"/>
      <c r="K111" s="135"/>
      <c r="L111" s="51">
        <f t="shared" si="13"/>
        <v>15000</v>
      </c>
      <c r="M111" s="169"/>
      <c r="N111" s="135">
        <v>1000</v>
      </c>
      <c r="O111" s="170"/>
      <c r="P111" s="170">
        <v>5000</v>
      </c>
      <c r="Q111" s="163">
        <v>9000</v>
      </c>
      <c r="R111" s="170"/>
      <c r="S111" s="170"/>
      <c r="T111" s="170"/>
      <c r="U111" s="170">
        <v>0</v>
      </c>
      <c r="V111" s="170"/>
      <c r="W111" s="170"/>
      <c r="X111" s="171">
        <v>0</v>
      </c>
    </row>
    <row r="112" spans="1:24" ht="78.75" hidden="1">
      <c r="A112" s="172">
        <v>16</v>
      </c>
      <c r="B112" s="103" t="s">
        <v>34</v>
      </c>
      <c r="C112" s="103"/>
      <c r="D112" s="174" t="s">
        <v>425</v>
      </c>
      <c r="E112" s="51">
        <f t="shared" si="11"/>
        <v>26250</v>
      </c>
      <c r="F112" s="51">
        <f t="shared" si="12"/>
        <v>13200</v>
      </c>
      <c r="G112" s="170">
        <f>13200</f>
        <v>13200</v>
      </c>
      <c r="H112" s="135"/>
      <c r="I112" s="135"/>
      <c r="J112" s="135"/>
      <c r="K112" s="135"/>
      <c r="L112" s="51">
        <f t="shared" si="13"/>
        <v>13050</v>
      </c>
      <c r="M112" s="169">
        <v>10050</v>
      </c>
      <c r="N112" s="135">
        <v>0</v>
      </c>
      <c r="O112" s="170"/>
      <c r="P112" s="170">
        <v>3000</v>
      </c>
      <c r="Q112" s="163"/>
      <c r="R112" s="170"/>
      <c r="S112" s="170"/>
      <c r="T112" s="170"/>
      <c r="U112" s="170">
        <v>0</v>
      </c>
      <c r="V112" s="170"/>
      <c r="W112" s="170"/>
      <c r="X112" s="171">
        <v>0</v>
      </c>
    </row>
    <row r="113" spans="1:24" hidden="1">
      <c r="A113" s="172">
        <v>17</v>
      </c>
      <c r="B113" s="103" t="s">
        <v>34</v>
      </c>
      <c r="C113" s="103"/>
      <c r="D113" s="174" t="s">
        <v>426</v>
      </c>
      <c r="E113" s="51">
        <f t="shared" si="11"/>
        <v>18400</v>
      </c>
      <c r="F113" s="51">
        <f t="shared" si="12"/>
        <v>18400</v>
      </c>
      <c r="G113" s="170">
        <v>18400</v>
      </c>
      <c r="H113" s="135"/>
      <c r="I113" s="135"/>
      <c r="J113" s="135"/>
      <c r="K113" s="135"/>
      <c r="L113" s="51">
        <f t="shared" si="13"/>
        <v>0</v>
      </c>
      <c r="M113" s="169"/>
      <c r="N113" s="135"/>
      <c r="O113" s="170"/>
      <c r="P113" s="170"/>
      <c r="Q113" s="163"/>
      <c r="R113" s="170"/>
      <c r="S113" s="170"/>
      <c r="T113" s="170"/>
      <c r="U113" s="170"/>
      <c r="V113" s="170"/>
      <c r="W113" s="170"/>
      <c r="X113" s="171"/>
    </row>
    <row r="114" spans="1:24" hidden="1">
      <c r="A114" s="172">
        <v>18</v>
      </c>
      <c r="B114" s="103" t="s">
        <v>34</v>
      </c>
      <c r="C114" s="103"/>
      <c r="D114" s="106" t="s">
        <v>290</v>
      </c>
      <c r="E114" s="51">
        <f t="shared" si="11"/>
        <v>4948</v>
      </c>
      <c r="F114" s="51">
        <f t="shared" si="12"/>
        <v>0</v>
      </c>
      <c r="G114" s="170"/>
      <c r="H114" s="135"/>
      <c r="I114" s="135"/>
      <c r="J114" s="135"/>
      <c r="K114" s="135"/>
      <c r="L114" s="51">
        <f t="shared" si="13"/>
        <v>4948</v>
      </c>
      <c r="M114" s="169"/>
      <c r="N114" s="135"/>
      <c r="O114" s="170"/>
      <c r="P114" s="170"/>
      <c r="Q114" s="163"/>
      <c r="R114" s="170">
        <v>4948</v>
      </c>
      <c r="S114" s="170"/>
      <c r="T114" s="170"/>
      <c r="U114" s="170"/>
      <c r="V114" s="170"/>
      <c r="W114" s="170"/>
      <c r="X114" s="171"/>
    </row>
    <row r="115" spans="1:24" hidden="1">
      <c r="A115" s="172">
        <v>19</v>
      </c>
      <c r="B115" s="103" t="s">
        <v>34</v>
      </c>
      <c r="C115" s="103"/>
      <c r="D115" s="106" t="s">
        <v>292</v>
      </c>
      <c r="E115" s="51">
        <f t="shared" si="11"/>
        <v>91483</v>
      </c>
      <c r="F115" s="51">
        <f t="shared" si="12"/>
        <v>0</v>
      </c>
      <c r="G115" s="170"/>
      <c r="H115" s="135"/>
      <c r="I115" s="135"/>
      <c r="J115" s="135"/>
      <c r="K115" s="135"/>
      <c r="L115" s="51">
        <f t="shared" si="13"/>
        <v>91483</v>
      </c>
      <c r="M115" s="169">
        <v>6103</v>
      </c>
      <c r="N115" s="135">
        <v>6200</v>
      </c>
      <c r="O115" s="170">
        <v>6000</v>
      </c>
      <c r="P115" s="170">
        <v>6000</v>
      </c>
      <c r="Q115" s="163">
        <v>2880</v>
      </c>
      <c r="R115" s="170">
        <v>6000</v>
      </c>
      <c r="S115" s="170">
        <v>12000</v>
      </c>
      <c r="T115" s="170">
        <v>11100</v>
      </c>
      <c r="U115" s="170">
        <v>12000</v>
      </c>
      <c r="V115" s="170">
        <v>5000</v>
      </c>
      <c r="W115" s="170">
        <v>12000</v>
      </c>
      <c r="X115" s="171">
        <v>6200</v>
      </c>
    </row>
    <row r="116" spans="1:24" hidden="1">
      <c r="A116" s="172">
        <v>20</v>
      </c>
      <c r="B116" s="103" t="s">
        <v>34</v>
      </c>
      <c r="C116" s="103"/>
      <c r="D116" s="106" t="s">
        <v>291</v>
      </c>
      <c r="E116" s="51">
        <f t="shared" si="11"/>
        <v>17400</v>
      </c>
      <c r="F116" s="51">
        <f t="shared" si="12"/>
        <v>11820</v>
      </c>
      <c r="G116" s="170">
        <f>6460+5360</f>
        <v>11820</v>
      </c>
      <c r="H116" s="135"/>
      <c r="I116" s="135"/>
      <c r="J116" s="135"/>
      <c r="K116" s="135"/>
      <c r="L116" s="51">
        <f t="shared" si="13"/>
        <v>5580</v>
      </c>
      <c r="M116" s="169"/>
      <c r="N116" s="135"/>
      <c r="O116" s="170"/>
      <c r="P116" s="170"/>
      <c r="Q116" s="163"/>
      <c r="R116" s="170"/>
      <c r="S116" s="170"/>
      <c r="T116" s="170">
        <v>5580</v>
      </c>
      <c r="U116" s="170"/>
      <c r="V116" s="170"/>
      <c r="W116" s="170"/>
      <c r="X116" s="171"/>
    </row>
    <row r="117" spans="1:24" ht="45" hidden="1">
      <c r="A117" s="172">
        <v>21</v>
      </c>
      <c r="B117" s="103" t="s">
        <v>34</v>
      </c>
      <c r="C117" s="103"/>
      <c r="D117" s="174" t="s">
        <v>427</v>
      </c>
      <c r="E117" s="51">
        <f t="shared" si="11"/>
        <v>141120</v>
      </c>
      <c r="F117" s="51">
        <f t="shared" si="12"/>
        <v>141120</v>
      </c>
      <c r="G117" s="170">
        <f>141120</f>
        <v>141120</v>
      </c>
      <c r="H117" s="135"/>
      <c r="I117" s="135"/>
      <c r="J117" s="135"/>
      <c r="K117" s="135"/>
      <c r="L117" s="51">
        <f t="shared" si="13"/>
        <v>0</v>
      </c>
      <c r="M117" s="169"/>
      <c r="N117" s="135"/>
      <c r="O117" s="170"/>
      <c r="P117" s="170"/>
      <c r="Q117" s="163"/>
      <c r="R117" s="170"/>
      <c r="S117" s="170"/>
      <c r="T117" s="170"/>
      <c r="U117" s="170"/>
      <c r="V117" s="170"/>
      <c r="W117" s="170"/>
      <c r="X117" s="171"/>
    </row>
    <row r="118" spans="1:24" hidden="1">
      <c r="A118" s="172">
        <v>22</v>
      </c>
      <c r="B118" s="103" t="s">
        <v>34</v>
      </c>
      <c r="C118" s="103"/>
      <c r="D118" s="174" t="s">
        <v>428</v>
      </c>
      <c r="E118" s="51">
        <f t="shared" si="11"/>
        <v>13470</v>
      </c>
      <c r="F118" s="51">
        <f t="shared" si="12"/>
        <v>6380</v>
      </c>
      <c r="G118" s="170">
        <v>6380</v>
      </c>
      <c r="H118" s="135"/>
      <c r="I118" s="135"/>
      <c r="J118" s="135"/>
      <c r="K118" s="135"/>
      <c r="L118" s="51">
        <f t="shared" si="13"/>
        <v>7090</v>
      </c>
      <c r="M118" s="169"/>
      <c r="N118" s="135"/>
      <c r="O118" s="170"/>
      <c r="P118" s="170"/>
      <c r="Q118" s="163"/>
      <c r="R118" s="170"/>
      <c r="S118" s="170"/>
      <c r="T118" s="170">
        <v>7090</v>
      </c>
      <c r="U118" s="170"/>
      <c r="V118" s="170"/>
      <c r="W118" s="170"/>
      <c r="X118" s="171"/>
    </row>
    <row r="119" spans="1:24" s="3" customFormat="1" ht="21" hidden="1">
      <c r="A119" s="131" t="s">
        <v>254</v>
      </c>
      <c r="B119" s="98" t="s">
        <v>34</v>
      </c>
      <c r="C119" s="98"/>
      <c r="D119" s="132" t="s">
        <v>21</v>
      </c>
      <c r="E119" s="51">
        <f t="shared" si="11"/>
        <v>4040835</v>
      </c>
      <c r="F119" s="51">
        <f t="shared" si="12"/>
        <v>771000</v>
      </c>
      <c r="G119" s="101">
        <f>SUM(G120:G149)</f>
        <v>771000</v>
      </c>
      <c r="H119" s="101">
        <f t="shared" ref="H119:X119" si="16">SUM(H120:H149)</f>
        <v>0</v>
      </c>
      <c r="I119" s="101">
        <f t="shared" si="16"/>
        <v>0</v>
      </c>
      <c r="J119" s="101">
        <f t="shared" si="16"/>
        <v>0</v>
      </c>
      <c r="K119" s="101">
        <f t="shared" si="16"/>
        <v>0</v>
      </c>
      <c r="L119" s="51">
        <f t="shared" si="13"/>
        <v>3269835</v>
      </c>
      <c r="M119" s="101">
        <f t="shared" si="16"/>
        <v>9974</v>
      </c>
      <c r="N119" s="101">
        <f t="shared" si="16"/>
        <v>42100</v>
      </c>
      <c r="O119" s="101">
        <f t="shared" si="16"/>
        <v>73838</v>
      </c>
      <c r="P119" s="101">
        <f t="shared" si="16"/>
        <v>343015</v>
      </c>
      <c r="Q119" s="101">
        <f t="shared" si="16"/>
        <v>280536</v>
      </c>
      <c r="R119" s="101">
        <f t="shared" si="16"/>
        <v>52645</v>
      </c>
      <c r="S119" s="101">
        <f t="shared" si="16"/>
        <v>481230</v>
      </c>
      <c r="T119" s="101">
        <f t="shared" si="16"/>
        <v>396360</v>
      </c>
      <c r="U119" s="101">
        <f t="shared" si="16"/>
        <v>745357</v>
      </c>
      <c r="V119" s="101">
        <f t="shared" si="16"/>
        <v>254560</v>
      </c>
      <c r="W119" s="101">
        <f t="shared" si="16"/>
        <v>317090</v>
      </c>
      <c r="X119" s="101">
        <f t="shared" si="16"/>
        <v>273130</v>
      </c>
    </row>
    <row r="120" spans="1:24" ht="33.75" hidden="1">
      <c r="A120" s="142">
        <v>1</v>
      </c>
      <c r="B120" s="103" t="s">
        <v>34</v>
      </c>
      <c r="C120" s="103"/>
      <c r="D120" s="180" t="s">
        <v>538</v>
      </c>
      <c r="E120" s="51">
        <f t="shared" si="11"/>
        <v>217640</v>
      </c>
      <c r="F120" s="51">
        <f t="shared" si="12"/>
        <v>16000</v>
      </c>
      <c r="G120" s="179">
        <v>16000</v>
      </c>
      <c r="H120" s="135"/>
      <c r="I120" s="135"/>
      <c r="J120" s="135"/>
      <c r="K120" s="135"/>
      <c r="L120" s="51">
        <f t="shared" si="13"/>
        <v>201640</v>
      </c>
      <c r="M120" s="169"/>
      <c r="N120" s="170"/>
      <c r="O120" s="170">
        <v>4800</v>
      </c>
      <c r="P120" s="170">
        <v>6000</v>
      </c>
      <c r="Q120" s="170">
        <v>16000</v>
      </c>
      <c r="R120" s="170">
        <v>3840</v>
      </c>
      <c r="S120" s="147">
        <v>50000</v>
      </c>
      <c r="T120" s="170">
        <v>47520</v>
      </c>
      <c r="U120" s="170">
        <v>34760</v>
      </c>
      <c r="V120" s="170">
        <v>8640</v>
      </c>
      <c r="W120" s="170">
        <v>2080</v>
      </c>
      <c r="X120" s="171">
        <v>28000</v>
      </c>
    </row>
    <row r="121" spans="1:24" hidden="1">
      <c r="A121" s="142">
        <v>2</v>
      </c>
      <c r="B121" s="103" t="s">
        <v>34</v>
      </c>
      <c r="C121" s="103"/>
      <c r="D121" s="339" t="s">
        <v>68</v>
      </c>
      <c r="E121" s="51">
        <f t="shared" si="11"/>
        <v>318220</v>
      </c>
      <c r="F121" s="51">
        <f t="shared" si="12"/>
        <v>115000</v>
      </c>
      <c r="G121" s="152">
        <v>115000</v>
      </c>
      <c r="H121" s="152"/>
      <c r="I121" s="152"/>
      <c r="J121" s="152"/>
      <c r="K121" s="152"/>
      <c r="L121" s="51">
        <f t="shared" si="13"/>
        <v>203220</v>
      </c>
      <c r="M121" s="152">
        <v>9800</v>
      </c>
      <c r="N121" s="152">
        <v>17000</v>
      </c>
      <c r="O121" s="152">
        <v>1180</v>
      </c>
      <c r="P121" s="152">
        <v>23900</v>
      </c>
      <c r="Q121" s="152">
        <v>37820</v>
      </c>
      <c r="R121" s="152">
        <v>1260</v>
      </c>
      <c r="S121" s="152">
        <v>42900</v>
      </c>
      <c r="T121" s="152">
        <v>38340</v>
      </c>
      <c r="U121" s="152"/>
      <c r="V121" s="152">
        <v>9040</v>
      </c>
      <c r="W121" s="152">
        <v>8690</v>
      </c>
      <c r="X121" s="152">
        <v>13290</v>
      </c>
    </row>
    <row r="122" spans="1:24" hidden="1">
      <c r="A122" s="142">
        <v>3</v>
      </c>
      <c r="B122" s="103" t="s">
        <v>34</v>
      </c>
      <c r="C122" s="103"/>
      <c r="D122" s="339" t="s">
        <v>69</v>
      </c>
      <c r="E122" s="51">
        <f t="shared" si="11"/>
        <v>1200</v>
      </c>
      <c r="F122" s="51">
        <f t="shared" si="12"/>
        <v>0</v>
      </c>
      <c r="G122" s="179"/>
      <c r="H122" s="135"/>
      <c r="I122" s="135"/>
      <c r="J122" s="135"/>
      <c r="K122" s="135"/>
      <c r="L122" s="51">
        <f t="shared" si="13"/>
        <v>1200</v>
      </c>
      <c r="M122" s="169"/>
      <c r="N122" s="135">
        <v>1200</v>
      </c>
      <c r="O122" s="170"/>
      <c r="P122" s="170"/>
      <c r="Q122" s="170"/>
      <c r="R122" s="170"/>
      <c r="S122" s="147"/>
      <c r="T122" s="170"/>
      <c r="U122" s="176"/>
      <c r="V122" s="170"/>
      <c r="W122" s="170"/>
      <c r="X122" s="171"/>
    </row>
    <row r="123" spans="1:24" ht="33.75" hidden="1">
      <c r="A123" s="142">
        <v>4</v>
      </c>
      <c r="B123" s="103" t="s">
        <v>34</v>
      </c>
      <c r="C123" s="103"/>
      <c r="D123" s="180" t="s">
        <v>539</v>
      </c>
      <c r="E123" s="51">
        <f t="shared" si="11"/>
        <v>29800</v>
      </c>
      <c r="F123" s="51">
        <f t="shared" si="12"/>
        <v>25000</v>
      </c>
      <c r="G123" s="179">
        <v>25000</v>
      </c>
      <c r="H123" s="135"/>
      <c r="I123" s="135"/>
      <c r="J123" s="135"/>
      <c r="K123" s="135"/>
      <c r="L123" s="51">
        <f t="shared" si="13"/>
        <v>4800</v>
      </c>
      <c r="M123" s="169"/>
      <c r="N123" s="135">
        <v>1200</v>
      </c>
      <c r="O123" s="170"/>
      <c r="P123" s="170"/>
      <c r="Q123" s="170"/>
      <c r="R123" s="170"/>
      <c r="S123" s="147"/>
      <c r="T123" s="170"/>
      <c r="U123" s="176">
        <v>2600</v>
      </c>
      <c r="V123" s="170"/>
      <c r="W123" s="170"/>
      <c r="X123" s="171">
        <v>1000</v>
      </c>
    </row>
    <row r="124" spans="1:24" hidden="1">
      <c r="A124" s="142">
        <v>6</v>
      </c>
      <c r="B124" s="103" t="s">
        <v>34</v>
      </c>
      <c r="C124" s="103"/>
      <c r="D124" s="339" t="s">
        <v>70</v>
      </c>
      <c r="E124" s="51">
        <f t="shared" si="11"/>
        <v>12400</v>
      </c>
      <c r="F124" s="51">
        <f t="shared" si="12"/>
        <v>0</v>
      </c>
      <c r="G124" s="179"/>
      <c r="H124" s="135"/>
      <c r="I124" s="135"/>
      <c r="J124" s="135"/>
      <c r="K124" s="135"/>
      <c r="L124" s="51">
        <f t="shared" si="13"/>
        <v>12400</v>
      </c>
      <c r="M124" s="169"/>
      <c r="N124" s="135">
        <v>1500</v>
      </c>
      <c r="O124" s="170">
        <v>200</v>
      </c>
      <c r="P124" s="170">
        <v>2000</v>
      </c>
      <c r="Q124" s="170">
        <v>5000</v>
      </c>
      <c r="R124" s="170"/>
      <c r="S124" s="147"/>
      <c r="T124" s="170"/>
      <c r="U124" s="176"/>
      <c r="V124" s="170">
        <v>1500</v>
      </c>
      <c r="W124" s="152"/>
      <c r="X124" s="171">
        <v>2200</v>
      </c>
    </row>
    <row r="125" spans="1:24" hidden="1">
      <c r="A125" s="142">
        <v>7</v>
      </c>
      <c r="B125" s="103" t="s">
        <v>34</v>
      </c>
      <c r="C125" s="103"/>
      <c r="D125" s="339" t="s">
        <v>523</v>
      </c>
      <c r="E125" s="51">
        <f t="shared" si="11"/>
        <v>10000</v>
      </c>
      <c r="F125" s="51">
        <f t="shared" si="12"/>
        <v>10000</v>
      </c>
      <c r="G125" s="179">
        <v>10000</v>
      </c>
      <c r="H125" s="135"/>
      <c r="I125" s="135"/>
      <c r="J125" s="135"/>
      <c r="K125" s="135"/>
      <c r="L125" s="51">
        <f t="shared" si="13"/>
        <v>0</v>
      </c>
      <c r="M125" s="169"/>
      <c r="N125" s="135"/>
      <c r="O125" s="170"/>
      <c r="P125" s="170"/>
      <c r="Q125" s="170"/>
      <c r="R125" s="170"/>
      <c r="S125" s="147"/>
      <c r="T125" s="170"/>
      <c r="U125" s="176"/>
      <c r="V125" s="170"/>
      <c r="W125" s="170"/>
      <c r="X125" s="171"/>
    </row>
    <row r="126" spans="1:24" hidden="1">
      <c r="A126" s="142">
        <v>8</v>
      </c>
      <c r="B126" s="103" t="s">
        <v>34</v>
      </c>
      <c r="C126" s="103"/>
      <c r="D126" s="339" t="s">
        <v>71</v>
      </c>
      <c r="E126" s="51">
        <f t="shared" si="11"/>
        <v>212060</v>
      </c>
      <c r="F126" s="51">
        <f t="shared" si="12"/>
        <v>135000</v>
      </c>
      <c r="G126" s="179">
        <v>135000</v>
      </c>
      <c r="H126" s="135"/>
      <c r="I126" s="135"/>
      <c r="J126" s="135"/>
      <c r="K126" s="135"/>
      <c r="L126" s="51">
        <f t="shared" si="13"/>
        <v>77060</v>
      </c>
      <c r="M126" s="169"/>
      <c r="N126" s="135">
        <v>1200</v>
      </c>
      <c r="O126" s="170">
        <v>1920</v>
      </c>
      <c r="P126" s="170">
        <v>16000</v>
      </c>
      <c r="Q126" s="170"/>
      <c r="R126" s="170"/>
      <c r="S126" s="147">
        <v>3300</v>
      </c>
      <c r="T126" s="170"/>
      <c r="U126" s="176"/>
      <c r="V126" s="170"/>
      <c r="W126" s="170">
        <v>48640</v>
      </c>
      <c r="X126" s="171">
        <v>6000</v>
      </c>
    </row>
    <row r="127" spans="1:24" ht="33.75" hidden="1">
      <c r="A127" s="142">
        <v>9</v>
      </c>
      <c r="B127" s="103" t="s">
        <v>34</v>
      </c>
      <c r="C127" s="103"/>
      <c r="D127" s="180" t="s">
        <v>540</v>
      </c>
      <c r="E127" s="51">
        <f t="shared" si="11"/>
        <v>83136</v>
      </c>
      <c r="F127" s="51">
        <f t="shared" si="12"/>
        <v>0</v>
      </c>
      <c r="G127" s="179"/>
      <c r="H127" s="135"/>
      <c r="I127" s="135"/>
      <c r="J127" s="135"/>
      <c r="K127" s="135"/>
      <c r="L127" s="51">
        <f t="shared" si="13"/>
        <v>83136</v>
      </c>
      <c r="M127" s="169"/>
      <c r="N127" s="135">
        <v>2500</v>
      </c>
      <c r="O127" s="170">
        <v>520</v>
      </c>
      <c r="P127" s="170">
        <v>7200</v>
      </c>
      <c r="Q127" s="170">
        <v>7836</v>
      </c>
      <c r="R127" s="170"/>
      <c r="S127" s="147">
        <v>3040</v>
      </c>
      <c r="T127" s="170"/>
      <c r="U127" s="176">
        <v>42560</v>
      </c>
      <c r="V127" s="170">
        <v>17280</v>
      </c>
      <c r="W127" s="170"/>
      <c r="X127" s="171">
        <v>2200</v>
      </c>
    </row>
    <row r="128" spans="1:24" hidden="1">
      <c r="A128" s="142">
        <v>10</v>
      </c>
      <c r="B128" s="103" t="s">
        <v>34</v>
      </c>
      <c r="C128" s="103"/>
      <c r="D128" s="339" t="s">
        <v>72</v>
      </c>
      <c r="E128" s="51">
        <f t="shared" si="11"/>
        <v>8570</v>
      </c>
      <c r="F128" s="51">
        <f t="shared" si="12"/>
        <v>0</v>
      </c>
      <c r="G128" s="179"/>
      <c r="H128" s="135"/>
      <c r="I128" s="135"/>
      <c r="J128" s="135"/>
      <c r="K128" s="135"/>
      <c r="L128" s="51">
        <f t="shared" si="13"/>
        <v>8570</v>
      </c>
      <c r="M128" s="169"/>
      <c r="N128" s="135"/>
      <c r="O128" s="170">
        <v>520</v>
      </c>
      <c r="P128" s="170">
        <v>7000</v>
      </c>
      <c r="Q128" s="170"/>
      <c r="R128" s="170"/>
      <c r="S128" s="147"/>
      <c r="T128" s="170"/>
      <c r="U128" s="176"/>
      <c r="V128" s="170"/>
      <c r="W128" s="170"/>
      <c r="X128" s="171">
        <v>1050</v>
      </c>
    </row>
    <row r="129" spans="1:24" hidden="1">
      <c r="A129" s="142">
        <v>11</v>
      </c>
      <c r="B129" s="103" t="s">
        <v>34</v>
      </c>
      <c r="C129" s="103"/>
      <c r="D129" s="339" t="s">
        <v>524</v>
      </c>
      <c r="E129" s="51">
        <f t="shared" si="11"/>
        <v>253461</v>
      </c>
      <c r="F129" s="51">
        <f t="shared" si="12"/>
        <v>0</v>
      </c>
      <c r="G129" s="179"/>
      <c r="H129" s="135"/>
      <c r="I129" s="135"/>
      <c r="J129" s="135"/>
      <c r="K129" s="135"/>
      <c r="L129" s="51">
        <f t="shared" si="13"/>
        <v>253461</v>
      </c>
      <c r="M129" s="169"/>
      <c r="N129" s="135">
        <v>4000</v>
      </c>
      <c r="O129" s="170">
        <v>300</v>
      </c>
      <c r="P129" s="170">
        <v>28800</v>
      </c>
      <c r="Q129" s="163">
        <v>6400</v>
      </c>
      <c r="R129" s="170">
        <v>8121</v>
      </c>
      <c r="S129" s="147">
        <v>7680</v>
      </c>
      <c r="T129" s="170">
        <v>15000</v>
      </c>
      <c r="U129" s="176">
        <v>71520</v>
      </c>
      <c r="V129" s="170">
        <v>37400</v>
      </c>
      <c r="W129" s="170">
        <v>52000</v>
      </c>
      <c r="X129" s="171">
        <v>22240</v>
      </c>
    </row>
    <row r="130" spans="1:24" ht="33.75" hidden="1">
      <c r="A130" s="142">
        <v>12</v>
      </c>
      <c r="B130" s="103" t="s">
        <v>34</v>
      </c>
      <c r="C130" s="103"/>
      <c r="D130" s="180" t="s">
        <v>541</v>
      </c>
      <c r="E130" s="51">
        <f t="shared" si="11"/>
        <v>296952</v>
      </c>
      <c r="F130" s="51">
        <f t="shared" si="12"/>
        <v>65000</v>
      </c>
      <c r="G130" s="179">
        <v>65000</v>
      </c>
      <c r="H130" s="135"/>
      <c r="I130" s="135"/>
      <c r="J130" s="135"/>
      <c r="K130" s="135"/>
      <c r="L130" s="51">
        <f t="shared" si="13"/>
        <v>231952</v>
      </c>
      <c r="M130" s="136"/>
      <c r="N130" s="135">
        <v>4000</v>
      </c>
      <c r="O130" s="177">
        <v>10520</v>
      </c>
      <c r="P130" s="177">
        <v>115240</v>
      </c>
      <c r="Q130" s="177">
        <v>20000</v>
      </c>
      <c r="R130" s="177">
        <v>1280</v>
      </c>
      <c r="S130" s="147">
        <v>18240</v>
      </c>
      <c r="T130" s="177"/>
      <c r="U130" s="178">
        <v>51152</v>
      </c>
      <c r="V130" s="177"/>
      <c r="W130" s="177"/>
      <c r="X130" s="171">
        <v>11520</v>
      </c>
    </row>
    <row r="131" spans="1:24" hidden="1">
      <c r="A131" s="142">
        <v>13</v>
      </c>
      <c r="B131" s="103" t="s">
        <v>34</v>
      </c>
      <c r="C131" s="103"/>
      <c r="D131" s="339" t="s">
        <v>60</v>
      </c>
      <c r="E131" s="51">
        <f t="shared" si="11"/>
        <v>25800</v>
      </c>
      <c r="F131" s="51">
        <f t="shared" si="12"/>
        <v>5000</v>
      </c>
      <c r="G131" s="179">
        <v>5000</v>
      </c>
      <c r="H131" s="135"/>
      <c r="I131" s="135"/>
      <c r="J131" s="135"/>
      <c r="K131" s="135"/>
      <c r="L131" s="51">
        <f t="shared" si="13"/>
        <v>20800</v>
      </c>
      <c r="M131" s="136"/>
      <c r="N131" s="135"/>
      <c r="O131" s="179">
        <v>500</v>
      </c>
      <c r="P131" s="179">
        <v>7800</v>
      </c>
      <c r="Q131" s="179"/>
      <c r="R131" s="179"/>
      <c r="S131" s="147">
        <v>12500</v>
      </c>
      <c r="T131" s="179"/>
      <c r="U131" s="178"/>
      <c r="V131" s="179"/>
      <c r="W131" s="179"/>
      <c r="X131" s="171"/>
    </row>
    <row r="132" spans="1:24" ht="33.75" hidden="1">
      <c r="A132" s="142">
        <v>14</v>
      </c>
      <c r="B132" s="103" t="s">
        <v>34</v>
      </c>
      <c r="C132" s="103"/>
      <c r="D132" s="180" t="s">
        <v>542</v>
      </c>
      <c r="E132" s="51">
        <f t="shared" si="11"/>
        <v>110224</v>
      </c>
      <c r="F132" s="51">
        <f t="shared" si="12"/>
        <v>0</v>
      </c>
      <c r="G132" s="179"/>
      <c r="H132" s="135"/>
      <c r="I132" s="135"/>
      <c r="J132" s="135"/>
      <c r="K132" s="135"/>
      <c r="L132" s="51">
        <f t="shared" si="13"/>
        <v>110224</v>
      </c>
      <c r="M132" s="136">
        <v>174</v>
      </c>
      <c r="N132" s="135">
        <v>1500</v>
      </c>
      <c r="O132" s="181">
        <v>220</v>
      </c>
      <c r="P132" s="179">
        <v>12000</v>
      </c>
      <c r="Q132" s="163">
        <v>9000</v>
      </c>
      <c r="R132" s="179"/>
      <c r="S132" s="147">
        <v>29600</v>
      </c>
      <c r="T132" s="179">
        <v>8800</v>
      </c>
      <c r="U132" s="178">
        <v>20000</v>
      </c>
      <c r="V132" s="179">
        <v>10300</v>
      </c>
      <c r="W132" s="179">
        <v>12480</v>
      </c>
      <c r="X132" s="171">
        <v>6150</v>
      </c>
    </row>
    <row r="133" spans="1:24" ht="33.75" hidden="1">
      <c r="A133" s="142">
        <v>15</v>
      </c>
      <c r="B133" s="103" t="s">
        <v>34</v>
      </c>
      <c r="C133" s="103"/>
      <c r="D133" s="180" t="s">
        <v>543</v>
      </c>
      <c r="E133" s="51">
        <f t="shared" si="11"/>
        <v>1039120</v>
      </c>
      <c r="F133" s="51">
        <f t="shared" si="12"/>
        <v>0</v>
      </c>
      <c r="G133" s="152"/>
      <c r="H133" s="152"/>
      <c r="I133" s="152"/>
      <c r="J133" s="152"/>
      <c r="K133" s="152"/>
      <c r="L133" s="51">
        <f t="shared" si="13"/>
        <v>1039120</v>
      </c>
      <c r="M133" s="152"/>
      <c r="N133" s="152">
        <v>2500</v>
      </c>
      <c r="O133" s="152">
        <v>20000</v>
      </c>
      <c r="P133" s="152">
        <v>80000</v>
      </c>
      <c r="Q133" s="152">
        <v>110000</v>
      </c>
      <c r="R133" s="152">
        <v>9120</v>
      </c>
      <c r="S133" s="152">
        <v>147000</v>
      </c>
      <c r="T133" s="152">
        <v>162200</v>
      </c>
      <c r="U133" s="152">
        <v>326000</v>
      </c>
      <c r="V133" s="152">
        <v>64400</v>
      </c>
      <c r="W133" s="152">
        <v>57600</v>
      </c>
      <c r="X133" s="152">
        <v>60300</v>
      </c>
    </row>
    <row r="134" spans="1:24" hidden="1">
      <c r="A134" s="142">
        <v>16</v>
      </c>
      <c r="B134" s="103" t="s">
        <v>34</v>
      </c>
      <c r="C134" s="103"/>
      <c r="D134" s="182" t="s">
        <v>206</v>
      </c>
      <c r="E134" s="51">
        <f t="shared" si="11"/>
        <v>119658</v>
      </c>
      <c r="F134" s="51">
        <f t="shared" si="12"/>
        <v>0</v>
      </c>
      <c r="G134" s="179"/>
      <c r="H134" s="135"/>
      <c r="I134" s="135"/>
      <c r="J134" s="135"/>
      <c r="K134" s="135"/>
      <c r="L134" s="51">
        <f t="shared" si="13"/>
        <v>119658</v>
      </c>
      <c r="M134" s="136"/>
      <c r="N134" s="135">
        <v>1500</v>
      </c>
      <c r="O134" s="179">
        <v>1158</v>
      </c>
      <c r="P134" s="179">
        <v>5000</v>
      </c>
      <c r="Q134" s="179"/>
      <c r="R134" s="179"/>
      <c r="S134" s="147">
        <v>24000</v>
      </c>
      <c r="T134" s="179"/>
      <c r="U134" s="178">
        <v>20000</v>
      </c>
      <c r="V134" s="179">
        <v>24000</v>
      </c>
      <c r="W134" s="179">
        <v>24000</v>
      </c>
      <c r="X134" s="171">
        <v>20000</v>
      </c>
    </row>
    <row r="135" spans="1:24" hidden="1">
      <c r="A135" s="142">
        <v>17</v>
      </c>
      <c r="B135" s="103" t="s">
        <v>34</v>
      </c>
      <c r="C135" s="103"/>
      <c r="D135" s="339" t="s">
        <v>73</v>
      </c>
      <c r="E135" s="51">
        <f t="shared" si="11"/>
        <v>70300</v>
      </c>
      <c r="F135" s="51">
        <f t="shared" si="12"/>
        <v>15000</v>
      </c>
      <c r="G135" s="179">
        <v>15000</v>
      </c>
      <c r="H135" s="135"/>
      <c r="I135" s="135"/>
      <c r="J135" s="135"/>
      <c r="K135" s="135"/>
      <c r="L135" s="51">
        <f t="shared" si="13"/>
        <v>55300</v>
      </c>
      <c r="M135" s="136"/>
      <c r="N135" s="135">
        <v>2500</v>
      </c>
      <c r="O135" s="179">
        <v>10000</v>
      </c>
      <c r="P135" s="179">
        <v>8000</v>
      </c>
      <c r="Q135" s="163">
        <v>3000</v>
      </c>
      <c r="R135" s="179"/>
      <c r="S135" s="147">
        <v>2000</v>
      </c>
      <c r="T135" s="179">
        <v>5300</v>
      </c>
      <c r="U135" s="178">
        <v>2000</v>
      </c>
      <c r="V135" s="179">
        <v>3000</v>
      </c>
      <c r="W135" s="179">
        <v>3000</v>
      </c>
      <c r="X135" s="171">
        <v>16500</v>
      </c>
    </row>
    <row r="136" spans="1:24" ht="33.75" hidden="1">
      <c r="A136" s="142">
        <v>18</v>
      </c>
      <c r="B136" s="103" t="s">
        <v>34</v>
      </c>
      <c r="C136" s="103"/>
      <c r="D136" s="180" t="s">
        <v>585</v>
      </c>
      <c r="E136" s="51">
        <f t="shared" si="11"/>
        <v>510400</v>
      </c>
      <c r="F136" s="51">
        <f t="shared" si="12"/>
        <v>0</v>
      </c>
      <c r="G136" s="179"/>
      <c r="H136" s="152"/>
      <c r="I136" s="152"/>
      <c r="J136" s="152"/>
      <c r="K136" s="152"/>
      <c r="L136" s="51">
        <f t="shared" si="13"/>
        <v>510400</v>
      </c>
      <c r="M136" s="152"/>
      <c r="N136" s="152"/>
      <c r="O136" s="152">
        <v>22000</v>
      </c>
      <c r="P136" s="179"/>
      <c r="Q136" s="163"/>
      <c r="R136" s="179"/>
      <c r="S136" s="147"/>
      <c r="T136" s="179">
        <v>90000</v>
      </c>
      <c r="U136" s="178">
        <v>164400</v>
      </c>
      <c r="V136" s="179">
        <v>61200</v>
      </c>
      <c r="W136" s="179">
        <v>99000</v>
      </c>
      <c r="X136" s="170">
        <v>73800</v>
      </c>
    </row>
    <row r="137" spans="1:24" ht="22.5" hidden="1">
      <c r="A137" s="142">
        <v>19</v>
      </c>
      <c r="B137" s="103" t="s">
        <v>34</v>
      </c>
      <c r="C137" s="103"/>
      <c r="D137" s="183" t="s">
        <v>586</v>
      </c>
      <c r="E137" s="51">
        <f t="shared" si="11"/>
        <v>1200</v>
      </c>
      <c r="F137" s="51">
        <f t="shared" si="12"/>
        <v>0</v>
      </c>
      <c r="G137" s="179"/>
      <c r="H137" s="135"/>
      <c r="I137" s="135"/>
      <c r="J137" s="135"/>
      <c r="K137" s="135"/>
      <c r="L137" s="51">
        <f t="shared" si="13"/>
        <v>1200</v>
      </c>
      <c r="M137" s="135"/>
      <c r="N137" s="135"/>
      <c r="O137" s="135"/>
      <c r="P137" s="179"/>
      <c r="Q137" s="163"/>
      <c r="R137" s="179"/>
      <c r="S137" s="147"/>
      <c r="T137" s="179">
        <v>1200</v>
      </c>
      <c r="U137" s="178"/>
      <c r="V137" s="179"/>
      <c r="W137" s="184"/>
      <c r="X137" s="171"/>
    </row>
    <row r="138" spans="1:24" hidden="1">
      <c r="A138" s="142">
        <v>20</v>
      </c>
      <c r="B138" s="103" t="s">
        <v>34</v>
      </c>
      <c r="C138" s="103"/>
      <c r="D138" s="183" t="s">
        <v>87</v>
      </c>
      <c r="E138" s="51">
        <f t="shared" ref="E138:E201" si="17">F138+L138</f>
        <v>68780</v>
      </c>
      <c r="F138" s="51">
        <f t="shared" ref="F138:F201" si="18">SUM(G138:K138)</f>
        <v>50000</v>
      </c>
      <c r="G138" s="179">
        <v>50000</v>
      </c>
      <c r="H138" s="135"/>
      <c r="I138" s="135"/>
      <c r="J138" s="135"/>
      <c r="K138" s="135"/>
      <c r="L138" s="51">
        <f t="shared" ref="L138:L201" si="19">SUM(M138:X138)</f>
        <v>18780</v>
      </c>
      <c r="M138" s="135"/>
      <c r="N138" s="135"/>
      <c r="O138" s="135"/>
      <c r="P138" s="179"/>
      <c r="Q138" s="163"/>
      <c r="R138" s="179"/>
      <c r="S138" s="147"/>
      <c r="T138" s="179"/>
      <c r="U138" s="178"/>
      <c r="V138" s="179">
        <v>9900</v>
      </c>
      <c r="W138" s="184"/>
      <c r="X138" s="171">
        <v>8880</v>
      </c>
    </row>
    <row r="139" spans="1:24" hidden="1">
      <c r="A139" s="142">
        <v>21</v>
      </c>
      <c r="B139" s="103" t="s">
        <v>34</v>
      </c>
      <c r="C139" s="103"/>
      <c r="D139" s="104" t="s">
        <v>290</v>
      </c>
      <c r="E139" s="51">
        <f t="shared" si="17"/>
        <v>200000</v>
      </c>
      <c r="F139" s="51">
        <f t="shared" si="18"/>
        <v>200000</v>
      </c>
      <c r="G139" s="179">
        <v>200000</v>
      </c>
      <c r="H139" s="135"/>
      <c r="I139" s="135"/>
      <c r="J139" s="135"/>
      <c r="K139" s="135"/>
      <c r="L139" s="51">
        <f t="shared" si="19"/>
        <v>0</v>
      </c>
      <c r="M139" s="135"/>
      <c r="N139" s="135"/>
      <c r="O139" s="135"/>
      <c r="P139" s="179"/>
      <c r="Q139" s="163"/>
      <c r="R139" s="179"/>
      <c r="S139" s="147"/>
      <c r="T139" s="179"/>
      <c r="U139" s="178"/>
      <c r="V139" s="179"/>
      <c r="W139" s="184"/>
      <c r="X139" s="171"/>
    </row>
    <row r="140" spans="1:24" hidden="1">
      <c r="A140" s="142">
        <v>22</v>
      </c>
      <c r="B140" s="103" t="s">
        <v>34</v>
      </c>
      <c r="C140" s="103"/>
      <c r="D140" s="104" t="s">
        <v>292</v>
      </c>
      <c r="E140" s="51">
        <f t="shared" si="17"/>
        <v>12075</v>
      </c>
      <c r="F140" s="51">
        <f t="shared" si="18"/>
        <v>0</v>
      </c>
      <c r="G140" s="179"/>
      <c r="H140" s="135"/>
      <c r="I140" s="135"/>
      <c r="J140" s="135"/>
      <c r="K140" s="135"/>
      <c r="L140" s="51">
        <f t="shared" si="19"/>
        <v>12075</v>
      </c>
      <c r="M140" s="135"/>
      <c r="N140" s="135"/>
      <c r="O140" s="135"/>
      <c r="P140" s="179">
        <v>12075</v>
      </c>
      <c r="Q140" s="163"/>
      <c r="R140" s="179"/>
      <c r="S140" s="147"/>
      <c r="T140" s="179"/>
      <c r="U140" s="178"/>
      <c r="V140" s="179"/>
      <c r="W140" s="184"/>
      <c r="X140" s="171"/>
    </row>
    <row r="141" spans="1:24" hidden="1">
      <c r="A141" s="142">
        <v>23</v>
      </c>
      <c r="B141" s="103" t="s">
        <v>34</v>
      </c>
      <c r="C141" s="103"/>
      <c r="D141" s="104" t="s">
        <v>291</v>
      </c>
      <c r="E141" s="51">
        <f t="shared" si="17"/>
        <v>63184</v>
      </c>
      <c r="F141" s="51">
        <f t="shared" si="18"/>
        <v>0</v>
      </c>
      <c r="G141" s="179"/>
      <c r="H141" s="135"/>
      <c r="I141" s="135"/>
      <c r="J141" s="135"/>
      <c r="K141" s="135"/>
      <c r="L141" s="51">
        <f t="shared" si="19"/>
        <v>63184</v>
      </c>
      <c r="M141" s="135"/>
      <c r="N141" s="135">
        <v>1500</v>
      </c>
      <c r="O141" s="135"/>
      <c r="P141" s="179">
        <v>12000</v>
      </c>
      <c r="Q141" s="163"/>
      <c r="R141" s="179">
        <v>13924</v>
      </c>
      <c r="S141" s="147">
        <v>5200</v>
      </c>
      <c r="T141" s="179">
        <v>28000</v>
      </c>
      <c r="U141" s="178">
        <v>2560</v>
      </c>
      <c r="V141" s="179"/>
      <c r="W141" s="184"/>
      <c r="X141" s="171"/>
    </row>
    <row r="142" spans="1:24" hidden="1">
      <c r="A142" s="142">
        <v>24</v>
      </c>
      <c r="B142" s="103" t="s">
        <v>34</v>
      </c>
      <c r="C142" s="103"/>
      <c r="D142" s="104" t="s">
        <v>525</v>
      </c>
      <c r="E142" s="51">
        <f t="shared" si="17"/>
        <v>57000</v>
      </c>
      <c r="F142" s="51">
        <f t="shared" si="18"/>
        <v>0</v>
      </c>
      <c r="G142" s="179"/>
      <c r="H142" s="135"/>
      <c r="I142" s="135"/>
      <c r="J142" s="135"/>
      <c r="K142" s="135"/>
      <c r="L142" s="51">
        <f t="shared" si="19"/>
        <v>57000</v>
      </c>
      <c r="M142" s="135"/>
      <c r="N142" s="135"/>
      <c r="O142" s="135"/>
      <c r="P142" s="179"/>
      <c r="Q142" s="163"/>
      <c r="R142" s="179"/>
      <c r="S142" s="147">
        <v>57000</v>
      </c>
      <c r="T142" s="179"/>
      <c r="U142" s="178"/>
      <c r="V142" s="179"/>
      <c r="W142" s="184"/>
      <c r="X142" s="171"/>
    </row>
    <row r="143" spans="1:24" ht="22.5" hidden="1">
      <c r="A143" s="142">
        <v>25</v>
      </c>
      <c r="B143" s="103" t="s">
        <v>34</v>
      </c>
      <c r="C143" s="103"/>
      <c r="D143" s="104" t="s">
        <v>526</v>
      </c>
      <c r="E143" s="51">
        <f t="shared" si="17"/>
        <v>23375</v>
      </c>
      <c r="F143" s="51">
        <f t="shared" si="18"/>
        <v>0</v>
      </c>
      <c r="G143" s="179"/>
      <c r="H143" s="135"/>
      <c r="I143" s="135"/>
      <c r="J143" s="135"/>
      <c r="K143" s="135"/>
      <c r="L143" s="51">
        <f t="shared" si="19"/>
        <v>23375</v>
      </c>
      <c r="M143" s="135"/>
      <c r="N143" s="135"/>
      <c r="O143" s="135"/>
      <c r="P143" s="179"/>
      <c r="Q143" s="163"/>
      <c r="R143" s="179"/>
      <c r="S143" s="147">
        <v>10770</v>
      </c>
      <c r="T143" s="179"/>
      <c r="U143" s="178">
        <v>7805</v>
      </c>
      <c r="V143" s="179">
        <v>2400</v>
      </c>
      <c r="W143" s="184">
        <v>2400</v>
      </c>
      <c r="X143" s="171"/>
    </row>
    <row r="144" spans="1:24" hidden="1">
      <c r="A144" s="142">
        <v>26</v>
      </c>
      <c r="B144" s="103" t="s">
        <v>34</v>
      </c>
      <c r="C144" s="103"/>
      <c r="D144" s="104" t="s">
        <v>527</v>
      </c>
      <c r="E144" s="51">
        <f t="shared" si="17"/>
        <v>111180</v>
      </c>
      <c r="F144" s="51">
        <f t="shared" si="18"/>
        <v>5000</v>
      </c>
      <c r="G144" s="179">
        <v>5000</v>
      </c>
      <c r="H144" s="135"/>
      <c r="I144" s="135"/>
      <c r="J144" s="135"/>
      <c r="K144" s="135"/>
      <c r="L144" s="51">
        <f t="shared" si="19"/>
        <v>106180</v>
      </c>
      <c r="M144" s="135"/>
      <c r="N144" s="135"/>
      <c r="O144" s="135"/>
      <c r="P144" s="179"/>
      <c r="Q144" s="163">
        <v>25480</v>
      </c>
      <c r="R144" s="179"/>
      <c r="S144" s="147">
        <v>68000</v>
      </c>
      <c r="T144" s="179"/>
      <c r="U144" s="178"/>
      <c r="V144" s="179">
        <v>5500</v>
      </c>
      <c r="W144" s="184">
        <v>7200</v>
      </c>
      <c r="X144" s="171"/>
    </row>
    <row r="145" spans="1:24" hidden="1">
      <c r="A145" s="142">
        <v>27</v>
      </c>
      <c r="B145" s="103" t="s">
        <v>34</v>
      </c>
      <c r="C145" s="103"/>
      <c r="D145" s="104" t="s">
        <v>528</v>
      </c>
      <c r="E145" s="51">
        <f t="shared" si="17"/>
        <v>105100</v>
      </c>
      <c r="F145" s="51">
        <f t="shared" si="18"/>
        <v>50000</v>
      </c>
      <c r="G145" s="179">
        <v>50000</v>
      </c>
      <c r="H145" s="135"/>
      <c r="I145" s="135"/>
      <c r="J145" s="135"/>
      <c r="K145" s="135"/>
      <c r="L145" s="51">
        <f t="shared" si="19"/>
        <v>55100</v>
      </c>
      <c r="M145" s="135"/>
      <c r="N145" s="135"/>
      <c r="O145" s="135"/>
      <c r="P145" s="179"/>
      <c r="Q145" s="163">
        <v>40000</v>
      </c>
      <c r="R145" s="179">
        <v>15100</v>
      </c>
      <c r="S145" s="147"/>
      <c r="T145" s="179"/>
      <c r="U145" s="178"/>
      <c r="V145" s="179"/>
      <c r="W145" s="184"/>
      <c r="X145" s="171"/>
    </row>
    <row r="146" spans="1:24" ht="22.5" hidden="1">
      <c r="A146" s="142">
        <v>28</v>
      </c>
      <c r="B146" s="103" t="s">
        <v>34</v>
      </c>
      <c r="C146" s="103"/>
      <c r="D146" s="104" t="s">
        <v>529</v>
      </c>
      <c r="E146" s="51">
        <f t="shared" si="17"/>
        <v>20000</v>
      </c>
      <c r="F146" s="51">
        <f t="shared" si="18"/>
        <v>20000</v>
      </c>
      <c r="G146" s="179">
        <v>20000</v>
      </c>
      <c r="H146" s="135"/>
      <c r="I146" s="135"/>
      <c r="J146" s="135"/>
      <c r="K146" s="135"/>
      <c r="L146" s="51">
        <f t="shared" si="19"/>
        <v>0</v>
      </c>
      <c r="M146" s="135"/>
      <c r="N146" s="135"/>
      <c r="O146" s="135"/>
      <c r="P146" s="179"/>
      <c r="Q146" s="163"/>
      <c r="R146" s="179"/>
      <c r="S146" s="147"/>
      <c r="T146" s="179"/>
      <c r="U146" s="178"/>
      <c r="V146" s="179"/>
      <c r="W146" s="184"/>
      <c r="X146" s="171"/>
    </row>
    <row r="147" spans="1:24" ht="22.5" hidden="1">
      <c r="A147" s="142">
        <v>29</v>
      </c>
      <c r="B147" s="103" t="s">
        <v>34</v>
      </c>
      <c r="C147" s="103"/>
      <c r="D147" s="104" t="s">
        <v>530</v>
      </c>
      <c r="E147" s="51">
        <f t="shared" si="17"/>
        <v>30000</v>
      </c>
      <c r="F147" s="51">
        <f t="shared" si="18"/>
        <v>30000</v>
      </c>
      <c r="G147" s="179">
        <v>30000</v>
      </c>
      <c r="H147" s="135"/>
      <c r="I147" s="135"/>
      <c r="J147" s="135"/>
      <c r="K147" s="135"/>
      <c r="L147" s="51">
        <f t="shared" si="19"/>
        <v>0</v>
      </c>
      <c r="M147" s="135"/>
      <c r="N147" s="135"/>
      <c r="O147" s="135"/>
      <c r="P147" s="179"/>
      <c r="Q147" s="163"/>
      <c r="R147" s="179"/>
      <c r="S147" s="147"/>
      <c r="T147" s="179"/>
      <c r="U147" s="178"/>
      <c r="V147" s="179"/>
      <c r="W147" s="184"/>
      <c r="X147" s="171"/>
    </row>
    <row r="148" spans="1:24" ht="22.5" hidden="1">
      <c r="A148" s="142">
        <v>30</v>
      </c>
      <c r="B148" s="103" t="s">
        <v>34</v>
      </c>
      <c r="C148" s="103"/>
      <c r="D148" s="104" t="s">
        <v>531</v>
      </c>
      <c r="E148" s="51">
        <f t="shared" si="17"/>
        <v>25000</v>
      </c>
      <c r="F148" s="51">
        <f t="shared" si="18"/>
        <v>25000</v>
      </c>
      <c r="G148" s="179">
        <v>25000</v>
      </c>
      <c r="H148" s="135"/>
      <c r="I148" s="135"/>
      <c r="J148" s="135"/>
      <c r="K148" s="135"/>
      <c r="L148" s="51">
        <f t="shared" si="19"/>
        <v>0</v>
      </c>
      <c r="M148" s="135"/>
      <c r="N148" s="135"/>
      <c r="O148" s="135"/>
      <c r="P148" s="179"/>
      <c r="Q148" s="163"/>
      <c r="R148" s="179"/>
      <c r="S148" s="147"/>
      <c r="T148" s="179"/>
      <c r="U148" s="178"/>
      <c r="V148" s="179"/>
      <c r="W148" s="184"/>
      <c r="X148" s="171"/>
    </row>
    <row r="149" spans="1:24" hidden="1">
      <c r="A149" s="142">
        <v>31</v>
      </c>
      <c r="B149" s="103" t="s">
        <v>34</v>
      </c>
      <c r="C149" s="103"/>
      <c r="D149" s="104" t="s">
        <v>532</v>
      </c>
      <c r="E149" s="51">
        <f t="shared" si="17"/>
        <v>5000</v>
      </c>
      <c r="F149" s="51">
        <f t="shared" si="18"/>
        <v>5000</v>
      </c>
      <c r="G149" s="179">
        <v>5000</v>
      </c>
      <c r="H149" s="135"/>
      <c r="I149" s="135"/>
      <c r="J149" s="135"/>
      <c r="K149" s="135"/>
      <c r="L149" s="51">
        <f t="shared" si="19"/>
        <v>0</v>
      </c>
      <c r="M149" s="135"/>
      <c r="N149" s="135"/>
      <c r="O149" s="135"/>
      <c r="P149" s="179"/>
      <c r="Q149" s="163"/>
      <c r="R149" s="179"/>
      <c r="S149" s="147"/>
      <c r="T149" s="179"/>
      <c r="U149" s="178"/>
      <c r="V149" s="179"/>
      <c r="W149" s="184"/>
      <c r="X149" s="171"/>
    </row>
    <row r="150" spans="1:24" s="35" customFormat="1" ht="31.5" hidden="1">
      <c r="A150" s="185">
        <v>3</v>
      </c>
      <c r="B150" s="94" t="s">
        <v>34</v>
      </c>
      <c r="C150" s="94"/>
      <c r="D150" s="129" t="s">
        <v>235</v>
      </c>
      <c r="E150" s="130">
        <f t="shared" si="17"/>
        <v>3401947.9670000002</v>
      </c>
      <c r="F150" s="130">
        <f t="shared" si="18"/>
        <v>1117280</v>
      </c>
      <c r="G150" s="96">
        <f>G151+G164+G187+G206</f>
        <v>1117280</v>
      </c>
      <c r="H150" s="96">
        <f>H151+H164+H187+H206</f>
        <v>0</v>
      </c>
      <c r="I150" s="96">
        <f>I151+I164+I187+I206</f>
        <v>0</v>
      </c>
      <c r="J150" s="96">
        <f>J151+J164+J187+J206</f>
        <v>0</v>
      </c>
      <c r="K150" s="96">
        <f>K151+K164+K187+K206</f>
        <v>0</v>
      </c>
      <c r="L150" s="130">
        <f t="shared" si="19"/>
        <v>2284667.9670000002</v>
      </c>
      <c r="M150" s="96">
        <f t="shared" ref="M150:X150" si="20">M151+M164+M187+M206</f>
        <v>312210</v>
      </c>
      <c r="N150" s="96">
        <f t="shared" si="20"/>
        <v>158526.967</v>
      </c>
      <c r="O150" s="96">
        <f t="shared" si="20"/>
        <v>155844</v>
      </c>
      <c r="P150" s="96">
        <f t="shared" si="20"/>
        <v>198928</v>
      </c>
      <c r="Q150" s="96">
        <f t="shared" si="20"/>
        <v>165238</v>
      </c>
      <c r="R150" s="96">
        <f t="shared" si="20"/>
        <v>114870</v>
      </c>
      <c r="S150" s="96">
        <f t="shared" si="20"/>
        <v>200828</v>
      </c>
      <c r="T150" s="96">
        <f t="shared" si="20"/>
        <v>242648</v>
      </c>
      <c r="U150" s="96">
        <f t="shared" si="20"/>
        <v>288582</v>
      </c>
      <c r="V150" s="96">
        <f t="shared" si="20"/>
        <v>130560</v>
      </c>
      <c r="W150" s="96">
        <f t="shared" si="20"/>
        <v>141003</v>
      </c>
      <c r="X150" s="96">
        <f t="shared" si="20"/>
        <v>175430</v>
      </c>
    </row>
    <row r="151" spans="1:24" s="3" customFormat="1" ht="21" hidden="1">
      <c r="A151" s="131" t="s">
        <v>245</v>
      </c>
      <c r="B151" s="98" t="s">
        <v>34</v>
      </c>
      <c r="C151" s="98"/>
      <c r="D151" s="186" t="s">
        <v>23</v>
      </c>
      <c r="E151" s="100">
        <f t="shared" si="17"/>
        <v>541450</v>
      </c>
      <c r="F151" s="100">
        <f t="shared" si="18"/>
        <v>180000</v>
      </c>
      <c r="G151" s="101">
        <f>SUM(G152:G163)</f>
        <v>180000</v>
      </c>
      <c r="H151" s="101">
        <f t="shared" ref="H151:X151" si="21">SUM(H152:H163)</f>
        <v>0</v>
      </c>
      <c r="I151" s="101">
        <f t="shared" si="21"/>
        <v>0</v>
      </c>
      <c r="J151" s="101">
        <f t="shared" si="21"/>
        <v>0</v>
      </c>
      <c r="K151" s="101">
        <f t="shared" si="21"/>
        <v>0</v>
      </c>
      <c r="L151" s="100">
        <f t="shared" si="19"/>
        <v>361450</v>
      </c>
      <c r="M151" s="101">
        <f t="shared" si="21"/>
        <v>41840</v>
      </c>
      <c r="N151" s="101">
        <f t="shared" si="21"/>
        <v>52060</v>
      </c>
      <c r="O151" s="101">
        <f t="shared" si="21"/>
        <v>36360</v>
      </c>
      <c r="P151" s="101">
        <f t="shared" si="21"/>
        <v>33078</v>
      </c>
      <c r="Q151" s="101">
        <f t="shared" si="21"/>
        <v>32216</v>
      </c>
      <c r="R151" s="101">
        <f t="shared" si="21"/>
        <v>1700</v>
      </c>
      <c r="S151" s="101">
        <f t="shared" si="21"/>
        <v>36760</v>
      </c>
      <c r="T151" s="101">
        <f t="shared" si="21"/>
        <v>22320</v>
      </c>
      <c r="U151" s="101">
        <f t="shared" si="21"/>
        <v>43262</v>
      </c>
      <c r="V151" s="101">
        <f t="shared" si="21"/>
        <v>7500</v>
      </c>
      <c r="W151" s="101">
        <f t="shared" si="21"/>
        <v>36474</v>
      </c>
      <c r="X151" s="101">
        <f t="shared" si="21"/>
        <v>17880</v>
      </c>
    </row>
    <row r="152" spans="1:24" s="1" customFormat="1" ht="33.75" hidden="1">
      <c r="A152" s="122">
        <v>1</v>
      </c>
      <c r="B152" s="103" t="s">
        <v>34</v>
      </c>
      <c r="C152" s="103"/>
      <c r="D152" s="576" t="s">
        <v>607</v>
      </c>
      <c r="E152" s="188">
        <f t="shared" si="17"/>
        <v>24490</v>
      </c>
      <c r="F152" s="188">
        <f t="shared" si="18"/>
        <v>20000</v>
      </c>
      <c r="G152" s="135">
        <v>20000</v>
      </c>
      <c r="H152" s="135"/>
      <c r="I152" s="135"/>
      <c r="J152" s="135"/>
      <c r="K152" s="135"/>
      <c r="L152" s="188">
        <f t="shared" si="19"/>
        <v>4490</v>
      </c>
      <c r="M152" s="135">
        <v>140</v>
      </c>
      <c r="N152" s="135"/>
      <c r="O152" s="110"/>
      <c r="P152" s="135"/>
      <c r="Q152" s="135"/>
      <c r="R152" s="135"/>
      <c r="S152" s="135">
        <v>2000</v>
      </c>
      <c r="T152" s="135"/>
      <c r="U152" s="135">
        <v>1150</v>
      </c>
      <c r="V152" s="135">
        <v>0</v>
      </c>
      <c r="W152" s="135">
        <v>1200</v>
      </c>
      <c r="X152" s="135"/>
    </row>
    <row r="153" spans="1:24" s="1" customFormat="1" ht="22.5" hidden="1">
      <c r="A153" s="122">
        <v>2</v>
      </c>
      <c r="B153" s="103" t="s">
        <v>34</v>
      </c>
      <c r="C153" s="103"/>
      <c r="D153" s="183" t="s">
        <v>430</v>
      </c>
      <c r="E153" s="188">
        <f t="shared" si="17"/>
        <v>44080</v>
      </c>
      <c r="F153" s="188">
        <f t="shared" si="18"/>
        <v>21520</v>
      </c>
      <c r="G153" s="137">
        <v>21520</v>
      </c>
      <c r="H153" s="135"/>
      <c r="I153" s="135"/>
      <c r="J153" s="135"/>
      <c r="K153" s="135"/>
      <c r="L153" s="188">
        <f t="shared" si="19"/>
        <v>22560</v>
      </c>
      <c r="M153" s="136"/>
      <c r="N153" s="135"/>
      <c r="O153" s="189">
        <v>2360</v>
      </c>
      <c r="P153" s="115"/>
      <c r="Q153" s="137">
        <v>2500</v>
      </c>
      <c r="R153" s="137">
        <v>1700</v>
      </c>
      <c r="S153" s="115">
        <v>4000</v>
      </c>
      <c r="T153" s="137"/>
      <c r="U153" s="190">
        <v>10000</v>
      </c>
      <c r="V153" s="137">
        <v>2000</v>
      </c>
      <c r="W153" s="137"/>
      <c r="X153" s="137"/>
    </row>
    <row r="154" spans="1:24" s="1" customFormat="1" ht="33.75" hidden="1">
      <c r="A154" s="122">
        <v>3</v>
      </c>
      <c r="B154" s="103" t="s">
        <v>34</v>
      </c>
      <c r="C154" s="103"/>
      <c r="D154" s="183" t="s">
        <v>431</v>
      </c>
      <c r="E154" s="188">
        <f t="shared" si="17"/>
        <v>26960</v>
      </c>
      <c r="F154" s="188">
        <f t="shared" si="18"/>
        <v>0</v>
      </c>
      <c r="G154" s="137"/>
      <c r="H154" s="135"/>
      <c r="I154" s="135"/>
      <c r="J154" s="135"/>
      <c r="K154" s="135"/>
      <c r="L154" s="188">
        <f t="shared" si="19"/>
        <v>26960</v>
      </c>
      <c r="M154" s="136">
        <v>3300</v>
      </c>
      <c r="N154" s="135">
        <v>2500</v>
      </c>
      <c r="O154" s="189"/>
      <c r="P154" s="115">
        <v>4600</v>
      </c>
      <c r="Q154" s="137"/>
      <c r="R154" s="137"/>
      <c r="S154" s="115">
        <v>5560</v>
      </c>
      <c r="T154" s="137">
        <v>3280</v>
      </c>
      <c r="U154" s="190">
        <v>2760</v>
      </c>
      <c r="V154" s="137">
        <v>2800</v>
      </c>
      <c r="W154" s="137">
        <v>2160</v>
      </c>
      <c r="X154" s="137"/>
    </row>
    <row r="155" spans="1:24" s="1" customFormat="1" ht="22.5" hidden="1">
      <c r="A155" s="122">
        <v>4</v>
      </c>
      <c r="B155" s="103" t="s">
        <v>34</v>
      </c>
      <c r="C155" s="103"/>
      <c r="D155" s="183" t="s">
        <v>432</v>
      </c>
      <c r="E155" s="188">
        <f t="shared" si="17"/>
        <v>67480</v>
      </c>
      <c r="F155" s="188">
        <f t="shared" si="18"/>
        <v>41280</v>
      </c>
      <c r="G155" s="137">
        <v>41280</v>
      </c>
      <c r="H155" s="135"/>
      <c r="I155" s="135"/>
      <c r="J155" s="135"/>
      <c r="K155" s="135"/>
      <c r="L155" s="188">
        <f t="shared" si="19"/>
        <v>26200</v>
      </c>
      <c r="M155" s="136"/>
      <c r="N155" s="135">
        <v>8500</v>
      </c>
      <c r="O155" s="189"/>
      <c r="P155" s="115"/>
      <c r="Q155" s="137">
        <v>15000</v>
      </c>
      <c r="R155" s="137"/>
      <c r="S155" s="115"/>
      <c r="T155" s="137"/>
      <c r="U155" s="190"/>
      <c r="V155" s="137">
        <v>2700</v>
      </c>
      <c r="W155" s="137"/>
      <c r="X155" s="137"/>
    </row>
    <row r="156" spans="1:24" s="1" customFormat="1" ht="22.5" hidden="1">
      <c r="A156" s="122">
        <v>5</v>
      </c>
      <c r="B156" s="103" t="s">
        <v>34</v>
      </c>
      <c r="C156" s="103"/>
      <c r="D156" s="561" t="s">
        <v>433</v>
      </c>
      <c r="E156" s="188">
        <f t="shared" si="17"/>
        <v>160368</v>
      </c>
      <c r="F156" s="188">
        <f t="shared" si="18"/>
        <v>97200</v>
      </c>
      <c r="G156" s="115">
        <v>97200</v>
      </c>
      <c r="H156" s="135"/>
      <c r="I156" s="135"/>
      <c r="J156" s="135"/>
      <c r="K156" s="135"/>
      <c r="L156" s="188">
        <f t="shared" si="19"/>
        <v>63168</v>
      </c>
      <c r="M156" s="136"/>
      <c r="N156" s="135">
        <v>960</v>
      </c>
      <c r="O156" s="189"/>
      <c r="P156" s="115">
        <v>14000</v>
      </c>
      <c r="Q156" s="137">
        <v>6736</v>
      </c>
      <c r="R156" s="137"/>
      <c r="S156" s="115">
        <v>1200</v>
      </c>
      <c r="T156" s="137">
        <v>7440</v>
      </c>
      <c r="U156" s="190">
        <v>17112</v>
      </c>
      <c r="V156" s="137"/>
      <c r="W156" s="137">
        <v>1440</v>
      </c>
      <c r="X156" s="137">
        <v>14280</v>
      </c>
    </row>
    <row r="157" spans="1:24" s="1" customFormat="1" ht="33.75" hidden="1">
      <c r="A157" s="122">
        <v>6</v>
      </c>
      <c r="B157" s="103" t="s">
        <v>34</v>
      </c>
      <c r="C157" s="103"/>
      <c r="D157" s="191" t="s">
        <v>434</v>
      </c>
      <c r="E157" s="188">
        <f t="shared" si="17"/>
        <v>3600</v>
      </c>
      <c r="F157" s="188">
        <f t="shared" si="18"/>
        <v>0</v>
      </c>
      <c r="G157" s="115"/>
      <c r="H157" s="135"/>
      <c r="I157" s="135"/>
      <c r="J157" s="135"/>
      <c r="K157" s="135"/>
      <c r="L157" s="188">
        <f t="shared" si="19"/>
        <v>3600</v>
      </c>
      <c r="M157" s="136"/>
      <c r="N157" s="135"/>
      <c r="O157" s="189"/>
      <c r="P157" s="115"/>
      <c r="Q157" s="137"/>
      <c r="R157" s="137"/>
      <c r="S157" s="115"/>
      <c r="T157" s="137"/>
      <c r="U157" s="190">
        <v>3600</v>
      </c>
      <c r="V157" s="137"/>
      <c r="W157" s="137"/>
      <c r="X157" s="137"/>
    </row>
    <row r="158" spans="1:24" s="1" customFormat="1" ht="22.5" hidden="1">
      <c r="A158" s="122">
        <v>7</v>
      </c>
      <c r="B158" s="103" t="s">
        <v>34</v>
      </c>
      <c r="C158" s="103"/>
      <c r="D158" s="191" t="s">
        <v>435</v>
      </c>
      <c r="E158" s="188">
        <f t="shared" si="17"/>
        <v>5400</v>
      </c>
      <c r="F158" s="188">
        <f t="shared" si="18"/>
        <v>0</v>
      </c>
      <c r="G158" s="115"/>
      <c r="H158" s="135"/>
      <c r="I158" s="135"/>
      <c r="J158" s="135"/>
      <c r="K158" s="135"/>
      <c r="L158" s="188">
        <f t="shared" si="19"/>
        <v>5400</v>
      </c>
      <c r="M158" s="136"/>
      <c r="N158" s="135"/>
      <c r="O158" s="189"/>
      <c r="P158" s="115"/>
      <c r="Q158" s="137"/>
      <c r="R158" s="137"/>
      <c r="S158" s="115"/>
      <c r="T158" s="137"/>
      <c r="U158" s="190">
        <v>5400</v>
      </c>
      <c r="V158" s="137"/>
      <c r="W158" s="137"/>
      <c r="X158" s="137"/>
    </row>
    <row r="159" spans="1:24" s="1" customFormat="1" hidden="1">
      <c r="A159" s="122">
        <v>8</v>
      </c>
      <c r="B159" s="103" t="s">
        <v>34</v>
      </c>
      <c r="C159" s="103"/>
      <c r="D159" s="191" t="s">
        <v>436</v>
      </c>
      <c r="E159" s="188">
        <f t="shared" si="17"/>
        <v>720</v>
      </c>
      <c r="F159" s="188">
        <f t="shared" si="18"/>
        <v>0</v>
      </c>
      <c r="G159" s="115"/>
      <c r="H159" s="135"/>
      <c r="I159" s="135"/>
      <c r="J159" s="135"/>
      <c r="K159" s="135"/>
      <c r="L159" s="188">
        <f t="shared" si="19"/>
        <v>720</v>
      </c>
      <c r="M159" s="136"/>
      <c r="N159" s="135"/>
      <c r="O159" s="189"/>
      <c r="P159" s="115"/>
      <c r="Q159" s="137"/>
      <c r="R159" s="137"/>
      <c r="S159" s="115"/>
      <c r="T159" s="137"/>
      <c r="U159" s="190">
        <v>720</v>
      </c>
      <c r="V159" s="137"/>
      <c r="W159" s="137"/>
      <c r="X159" s="137"/>
    </row>
    <row r="160" spans="1:24" s="1" customFormat="1" ht="22.5" hidden="1">
      <c r="A160" s="122">
        <v>9</v>
      </c>
      <c r="B160" s="103" t="s">
        <v>34</v>
      </c>
      <c r="C160" s="103"/>
      <c r="D160" s="191" t="s">
        <v>437</v>
      </c>
      <c r="E160" s="188">
        <f t="shared" si="17"/>
        <v>19600</v>
      </c>
      <c r="F160" s="188">
        <f t="shared" si="18"/>
        <v>0</v>
      </c>
      <c r="G160" s="115"/>
      <c r="H160" s="135"/>
      <c r="I160" s="135"/>
      <c r="J160" s="135"/>
      <c r="K160" s="135"/>
      <c r="L160" s="188">
        <f t="shared" si="19"/>
        <v>19600</v>
      </c>
      <c r="M160" s="136"/>
      <c r="N160" s="135"/>
      <c r="O160" s="189"/>
      <c r="P160" s="115">
        <v>8000</v>
      </c>
      <c r="Q160" s="137"/>
      <c r="R160" s="137"/>
      <c r="S160" s="115"/>
      <c r="T160" s="137">
        <v>11600</v>
      </c>
      <c r="U160" s="190"/>
      <c r="V160" s="137"/>
      <c r="W160" s="137"/>
      <c r="X160" s="137"/>
    </row>
    <row r="161" spans="1:24" s="569" customFormat="1" hidden="1">
      <c r="A161" s="559">
        <v>10</v>
      </c>
      <c r="B161" s="560" t="s">
        <v>34</v>
      </c>
      <c r="C161" s="560" t="s">
        <v>608</v>
      </c>
      <c r="D161" s="561" t="s">
        <v>438</v>
      </c>
      <c r="E161" s="562">
        <f t="shared" si="17"/>
        <v>66252</v>
      </c>
      <c r="F161" s="562">
        <f t="shared" si="18"/>
        <v>0</v>
      </c>
      <c r="G161" s="563"/>
      <c r="H161" s="564"/>
      <c r="I161" s="564"/>
      <c r="J161" s="564"/>
      <c r="K161" s="564"/>
      <c r="L161" s="562">
        <f t="shared" si="19"/>
        <v>66252</v>
      </c>
      <c r="M161" s="565"/>
      <c r="N161" s="564"/>
      <c r="O161" s="566"/>
      <c r="P161" s="563">
        <v>6478</v>
      </c>
      <c r="Q161" s="567">
        <v>7980</v>
      </c>
      <c r="R161" s="567"/>
      <c r="S161" s="563">
        <v>14000</v>
      </c>
      <c r="T161" s="567"/>
      <c r="U161" s="568">
        <v>2520</v>
      </c>
      <c r="V161" s="567"/>
      <c r="W161" s="567">
        <v>31674</v>
      </c>
      <c r="X161" s="567">
        <v>3600</v>
      </c>
    </row>
    <row r="162" spans="1:24" s="1" customFormat="1" ht="78.75" hidden="1">
      <c r="A162" s="122">
        <v>11</v>
      </c>
      <c r="B162" s="103" t="s">
        <v>34</v>
      </c>
      <c r="C162" s="103"/>
      <c r="D162" s="191" t="s">
        <v>439</v>
      </c>
      <c r="E162" s="188">
        <f t="shared" si="17"/>
        <v>82400</v>
      </c>
      <c r="F162" s="188">
        <f t="shared" si="18"/>
        <v>0</v>
      </c>
      <c r="G162" s="115"/>
      <c r="H162" s="135"/>
      <c r="I162" s="135"/>
      <c r="J162" s="135"/>
      <c r="K162" s="135"/>
      <c r="L162" s="188">
        <f t="shared" si="19"/>
        <v>82400</v>
      </c>
      <c r="M162" s="136">
        <v>38400</v>
      </c>
      <c r="N162" s="135"/>
      <c r="O162" s="189">
        <v>34000</v>
      </c>
      <c r="P162" s="115"/>
      <c r="Q162" s="137"/>
      <c r="R162" s="137"/>
      <c r="S162" s="115">
        <v>10000</v>
      </c>
      <c r="T162" s="137"/>
      <c r="U162" s="190"/>
      <c r="V162" s="137"/>
      <c r="W162" s="137"/>
      <c r="X162" s="137"/>
    </row>
    <row r="163" spans="1:24" s="1" customFormat="1" ht="22.5" hidden="1">
      <c r="A163" s="122">
        <v>12</v>
      </c>
      <c r="B163" s="103" t="s">
        <v>34</v>
      </c>
      <c r="C163" s="103"/>
      <c r="D163" s="104" t="s">
        <v>440</v>
      </c>
      <c r="E163" s="188">
        <f t="shared" si="17"/>
        <v>40100</v>
      </c>
      <c r="F163" s="188">
        <f t="shared" si="18"/>
        <v>0</v>
      </c>
      <c r="G163" s="115"/>
      <c r="H163" s="135"/>
      <c r="I163" s="135"/>
      <c r="J163" s="135"/>
      <c r="K163" s="135"/>
      <c r="L163" s="188">
        <f t="shared" si="19"/>
        <v>40100</v>
      </c>
      <c r="M163" s="136"/>
      <c r="N163" s="135">
        <v>40100</v>
      </c>
      <c r="O163" s="189"/>
      <c r="P163" s="115"/>
      <c r="Q163" s="137"/>
      <c r="R163" s="137"/>
      <c r="S163" s="115"/>
      <c r="T163" s="137"/>
      <c r="U163" s="190"/>
      <c r="V163" s="137"/>
      <c r="W163" s="137"/>
      <c r="X163" s="137"/>
    </row>
    <row r="164" spans="1:24" s="4" customFormat="1" ht="21" hidden="1">
      <c r="A164" s="131" t="s">
        <v>246</v>
      </c>
      <c r="B164" s="98" t="s">
        <v>34</v>
      </c>
      <c r="C164" s="98"/>
      <c r="D164" s="132" t="s">
        <v>304</v>
      </c>
      <c r="E164" s="100">
        <f t="shared" si="17"/>
        <v>769595</v>
      </c>
      <c r="F164" s="100">
        <f t="shared" si="18"/>
        <v>227280</v>
      </c>
      <c r="G164" s="101">
        <f>SUM(G165:G186)</f>
        <v>227280</v>
      </c>
      <c r="H164" s="101">
        <f t="shared" ref="H164:X164" si="22">SUM(H165:H186)</f>
        <v>0</v>
      </c>
      <c r="I164" s="101">
        <f t="shared" si="22"/>
        <v>0</v>
      </c>
      <c r="J164" s="101">
        <f t="shared" si="22"/>
        <v>0</v>
      </c>
      <c r="K164" s="101">
        <f t="shared" si="22"/>
        <v>0</v>
      </c>
      <c r="L164" s="100">
        <f t="shared" si="19"/>
        <v>542315</v>
      </c>
      <c r="M164" s="101">
        <f t="shared" si="22"/>
        <v>50031</v>
      </c>
      <c r="N164" s="101">
        <f t="shared" si="22"/>
        <v>20220</v>
      </c>
      <c r="O164" s="101">
        <f t="shared" si="22"/>
        <v>59980</v>
      </c>
      <c r="P164" s="101">
        <f t="shared" si="22"/>
        <v>23438</v>
      </c>
      <c r="Q164" s="101">
        <f t="shared" si="22"/>
        <v>77636</v>
      </c>
      <c r="R164" s="101">
        <f t="shared" si="22"/>
        <v>57500</v>
      </c>
      <c r="S164" s="101">
        <f t="shared" si="22"/>
        <v>20335</v>
      </c>
      <c r="T164" s="101">
        <f t="shared" si="22"/>
        <v>27000</v>
      </c>
      <c r="U164" s="101">
        <f t="shared" si="22"/>
        <v>61992</v>
      </c>
      <c r="V164" s="101">
        <f t="shared" si="22"/>
        <v>51300</v>
      </c>
      <c r="W164" s="101">
        <f t="shared" si="22"/>
        <v>52013</v>
      </c>
      <c r="X164" s="101">
        <f t="shared" si="22"/>
        <v>40870</v>
      </c>
    </row>
    <row r="165" spans="1:24" s="1" customFormat="1" ht="45" hidden="1">
      <c r="A165" s="122">
        <v>1</v>
      </c>
      <c r="B165" s="103" t="s">
        <v>34</v>
      </c>
      <c r="C165" s="103"/>
      <c r="D165" s="576" t="s">
        <v>441</v>
      </c>
      <c r="E165" s="188">
        <f t="shared" si="17"/>
        <v>10944</v>
      </c>
      <c r="F165" s="188">
        <f t="shared" si="18"/>
        <v>5000</v>
      </c>
      <c r="G165" s="135">
        <v>5000</v>
      </c>
      <c r="H165" s="135"/>
      <c r="I165" s="135"/>
      <c r="J165" s="135"/>
      <c r="K165" s="135"/>
      <c r="L165" s="188">
        <f t="shared" si="19"/>
        <v>5944</v>
      </c>
      <c r="M165" s="135">
        <v>156</v>
      </c>
      <c r="N165" s="135"/>
      <c r="O165" s="110"/>
      <c r="P165" s="135"/>
      <c r="Q165" s="135"/>
      <c r="R165" s="135"/>
      <c r="S165" s="135"/>
      <c r="T165" s="135">
        <v>1788</v>
      </c>
      <c r="U165" s="135"/>
      <c r="V165" s="135"/>
      <c r="W165" s="135">
        <v>4000</v>
      </c>
      <c r="X165" s="135"/>
    </row>
    <row r="166" spans="1:24" s="1" customFormat="1" ht="45" hidden="1">
      <c r="A166" s="122">
        <v>1</v>
      </c>
      <c r="B166" s="103" t="s">
        <v>34</v>
      </c>
      <c r="C166" s="103"/>
      <c r="D166" s="192" t="s">
        <v>74</v>
      </c>
      <c r="E166" s="188">
        <f t="shared" si="17"/>
        <v>70770</v>
      </c>
      <c r="F166" s="188">
        <f t="shared" si="18"/>
        <v>16740</v>
      </c>
      <c r="G166" s="189">
        <v>16740</v>
      </c>
      <c r="H166" s="135"/>
      <c r="I166" s="135"/>
      <c r="J166" s="135"/>
      <c r="K166" s="135"/>
      <c r="L166" s="188">
        <f t="shared" si="19"/>
        <v>54030</v>
      </c>
      <c r="M166" s="193">
        <v>6600</v>
      </c>
      <c r="N166" s="122"/>
      <c r="O166" s="194">
        <v>1180</v>
      </c>
      <c r="P166" s="195">
        <v>4600</v>
      </c>
      <c r="Q166" s="122">
        <v>2850</v>
      </c>
      <c r="R166" s="195">
        <v>13740</v>
      </c>
      <c r="S166" s="196">
        <v>5300</v>
      </c>
      <c r="T166" s="122">
        <v>3200</v>
      </c>
      <c r="U166" s="197">
        <v>5760</v>
      </c>
      <c r="V166" s="198">
        <v>2860</v>
      </c>
      <c r="W166" s="199">
        <v>4800</v>
      </c>
      <c r="X166" s="122">
        <v>3140</v>
      </c>
    </row>
    <row r="167" spans="1:24" s="1" customFormat="1" ht="33.75" hidden="1">
      <c r="A167" s="122">
        <v>2</v>
      </c>
      <c r="B167" s="103" t="s">
        <v>34</v>
      </c>
      <c r="C167" s="103"/>
      <c r="D167" s="192" t="s">
        <v>75</v>
      </c>
      <c r="E167" s="188">
        <f t="shared" si="17"/>
        <v>79800</v>
      </c>
      <c r="F167" s="188">
        <f t="shared" si="18"/>
        <v>0</v>
      </c>
      <c r="G167" s="200"/>
      <c r="H167" s="135"/>
      <c r="I167" s="135"/>
      <c r="J167" s="135"/>
      <c r="K167" s="135"/>
      <c r="L167" s="188">
        <f t="shared" si="19"/>
        <v>79800</v>
      </c>
      <c r="M167" s="136">
        <v>21600</v>
      </c>
      <c r="N167" s="135">
        <v>7200</v>
      </c>
      <c r="O167" s="189"/>
      <c r="P167" s="167"/>
      <c r="Q167" s="171"/>
      <c r="R167" s="167"/>
      <c r="S167" s="115"/>
      <c r="T167" s="171">
        <v>4800</v>
      </c>
      <c r="U167" s="201">
        <v>8400</v>
      </c>
      <c r="V167" s="167">
        <v>19800</v>
      </c>
      <c r="W167" s="137">
        <v>10800</v>
      </c>
      <c r="X167" s="171">
        <v>7200</v>
      </c>
    </row>
    <row r="168" spans="1:24" s="1" customFormat="1" hidden="1">
      <c r="A168" s="122">
        <v>3</v>
      </c>
      <c r="B168" s="103" t="s">
        <v>34</v>
      </c>
      <c r="C168" s="103"/>
      <c r="D168" s="202" t="s">
        <v>76</v>
      </c>
      <c r="E168" s="188">
        <f t="shared" si="17"/>
        <v>17900</v>
      </c>
      <c r="F168" s="188">
        <f t="shared" si="18"/>
        <v>0</v>
      </c>
      <c r="G168" s="203"/>
      <c r="H168" s="135"/>
      <c r="I168" s="135"/>
      <c r="J168" s="135"/>
      <c r="K168" s="135"/>
      <c r="L168" s="188">
        <f t="shared" si="19"/>
        <v>17900</v>
      </c>
      <c r="M168" s="136"/>
      <c r="N168" s="135"/>
      <c r="O168" s="189"/>
      <c r="P168" s="200"/>
      <c r="Q168" s="171"/>
      <c r="R168" s="167">
        <v>6000</v>
      </c>
      <c r="S168" s="115">
        <v>700</v>
      </c>
      <c r="T168" s="171">
        <v>1860</v>
      </c>
      <c r="U168" s="201">
        <v>3000</v>
      </c>
      <c r="V168" s="137">
        <v>1900</v>
      </c>
      <c r="W168" s="135"/>
      <c r="X168" s="171">
        <v>4440</v>
      </c>
    </row>
    <row r="169" spans="1:24" s="1" customFormat="1" hidden="1">
      <c r="A169" s="122">
        <v>4</v>
      </c>
      <c r="B169" s="103" t="s">
        <v>34</v>
      </c>
      <c r="C169" s="103"/>
      <c r="D169" s="192" t="s">
        <v>77</v>
      </c>
      <c r="E169" s="188">
        <f t="shared" si="17"/>
        <v>16335</v>
      </c>
      <c r="F169" s="188">
        <f t="shared" si="18"/>
        <v>10000</v>
      </c>
      <c r="G169" s="189">
        <v>10000</v>
      </c>
      <c r="H169" s="135"/>
      <c r="I169" s="135"/>
      <c r="J169" s="135"/>
      <c r="K169" s="135"/>
      <c r="L169" s="188">
        <f t="shared" si="19"/>
        <v>6335</v>
      </c>
      <c r="M169" s="136"/>
      <c r="N169" s="135"/>
      <c r="O169" s="203">
        <v>1400</v>
      </c>
      <c r="P169" s="200"/>
      <c r="Q169" s="171"/>
      <c r="R169" s="137"/>
      <c r="S169" s="115">
        <v>2235</v>
      </c>
      <c r="T169" s="137"/>
      <c r="U169" s="201">
        <v>500</v>
      </c>
      <c r="V169" s="137"/>
      <c r="W169" s="135">
        <v>1200</v>
      </c>
      <c r="X169" s="171">
        <v>1000</v>
      </c>
    </row>
    <row r="170" spans="1:24" s="1" customFormat="1" ht="22.5" hidden="1">
      <c r="A170" s="122">
        <v>5</v>
      </c>
      <c r="B170" s="103" t="s">
        <v>34</v>
      </c>
      <c r="C170" s="103"/>
      <c r="D170" s="192" t="s">
        <v>78</v>
      </c>
      <c r="E170" s="188">
        <f t="shared" si="17"/>
        <v>28800</v>
      </c>
      <c r="F170" s="188">
        <f t="shared" si="18"/>
        <v>0</v>
      </c>
      <c r="G170" s="115"/>
      <c r="H170" s="135"/>
      <c r="I170" s="135"/>
      <c r="J170" s="135"/>
      <c r="K170" s="135"/>
      <c r="L170" s="188">
        <f t="shared" si="19"/>
        <v>28800</v>
      </c>
      <c r="M170" s="136">
        <v>300</v>
      </c>
      <c r="N170" s="135"/>
      <c r="O170" s="189">
        <v>15000</v>
      </c>
      <c r="P170" s="115"/>
      <c r="Q170" s="171">
        <v>8000</v>
      </c>
      <c r="R170" s="137">
        <v>4000</v>
      </c>
      <c r="S170" s="115"/>
      <c r="T170" s="137"/>
      <c r="U170" s="201">
        <v>100</v>
      </c>
      <c r="V170" s="137"/>
      <c r="W170" s="135"/>
      <c r="X170" s="171">
        <v>1400</v>
      </c>
    </row>
    <row r="171" spans="1:24" s="1" customFormat="1" hidden="1">
      <c r="A171" s="122">
        <v>6</v>
      </c>
      <c r="B171" s="103" t="s">
        <v>34</v>
      </c>
      <c r="C171" s="103"/>
      <c r="D171" s="192" t="s">
        <v>79</v>
      </c>
      <c r="E171" s="188">
        <f t="shared" si="17"/>
        <v>14875</v>
      </c>
      <c r="F171" s="188">
        <f t="shared" si="18"/>
        <v>0</v>
      </c>
      <c r="G171" s="203"/>
      <c r="H171" s="135"/>
      <c r="I171" s="135"/>
      <c r="J171" s="135"/>
      <c r="K171" s="135"/>
      <c r="L171" s="188">
        <f t="shared" si="19"/>
        <v>14875</v>
      </c>
      <c r="M171" s="136">
        <v>975</v>
      </c>
      <c r="N171" s="135"/>
      <c r="O171" s="189"/>
      <c r="P171" s="200"/>
      <c r="Q171" s="171">
        <v>8000</v>
      </c>
      <c r="R171" s="137">
        <v>4000</v>
      </c>
      <c r="S171" s="115"/>
      <c r="T171" s="137"/>
      <c r="U171" s="201">
        <v>500</v>
      </c>
      <c r="V171" s="137"/>
      <c r="W171" s="135"/>
      <c r="X171" s="72">
        <v>1400</v>
      </c>
    </row>
    <row r="172" spans="1:24" s="1" customFormat="1" hidden="1">
      <c r="A172" s="122">
        <v>7</v>
      </c>
      <c r="B172" s="103" t="s">
        <v>34</v>
      </c>
      <c r="C172" s="103"/>
      <c r="D172" s="192" t="s">
        <v>80</v>
      </c>
      <c r="E172" s="188">
        <f t="shared" si="17"/>
        <v>19200</v>
      </c>
      <c r="F172" s="188">
        <f t="shared" si="18"/>
        <v>10000</v>
      </c>
      <c r="G172" s="189">
        <v>10000</v>
      </c>
      <c r="H172" s="135"/>
      <c r="I172" s="135"/>
      <c r="J172" s="135"/>
      <c r="K172" s="135"/>
      <c r="L172" s="188">
        <f t="shared" si="19"/>
        <v>9200</v>
      </c>
      <c r="M172" s="136"/>
      <c r="N172" s="135">
        <v>1200</v>
      </c>
      <c r="O172" s="189"/>
      <c r="P172" s="115"/>
      <c r="Q172" s="171"/>
      <c r="R172" s="137"/>
      <c r="S172" s="115"/>
      <c r="T172" s="137"/>
      <c r="U172" s="201">
        <v>2000</v>
      </c>
      <c r="V172" s="137"/>
      <c r="W172" s="135"/>
      <c r="X172" s="171">
        <v>6000</v>
      </c>
    </row>
    <row r="173" spans="1:24" s="134" customFormat="1" ht="21" hidden="1">
      <c r="A173" s="204">
        <v>8</v>
      </c>
      <c r="B173" s="205" t="s">
        <v>34</v>
      </c>
      <c r="C173" s="205"/>
      <c r="D173" s="206" t="s">
        <v>442</v>
      </c>
      <c r="E173" s="207">
        <f t="shared" si="17"/>
        <v>69740</v>
      </c>
      <c r="F173" s="207">
        <f t="shared" si="18"/>
        <v>0</v>
      </c>
      <c r="G173" s="208"/>
      <c r="H173" s="209"/>
      <c r="I173" s="209"/>
      <c r="J173" s="209"/>
      <c r="K173" s="209"/>
      <c r="L173" s="207">
        <f t="shared" si="19"/>
        <v>69740</v>
      </c>
      <c r="M173" s="210">
        <f>SUM(M174:M178)</f>
        <v>9800</v>
      </c>
      <c r="N173" s="209"/>
      <c r="O173" s="208">
        <f>SUM(O174:O178)</f>
        <v>20400</v>
      </c>
      <c r="P173" s="211"/>
      <c r="Q173" s="212">
        <f>SUM(Q174:Q178)</f>
        <v>21120</v>
      </c>
      <c r="R173" s="213">
        <f>SUM(R174:R178)</f>
        <v>10560</v>
      </c>
      <c r="S173" s="211"/>
      <c r="T173" s="213"/>
      <c r="U173" s="214">
        <f>SUM(U174:U178)</f>
        <v>7860</v>
      </c>
      <c r="V173" s="213"/>
      <c r="W173" s="209">
        <f>SUM(W174:W178)</f>
        <v>0</v>
      </c>
      <c r="X173" s="212"/>
    </row>
    <row r="174" spans="1:24" s="1" customFormat="1" ht="22.5" hidden="1">
      <c r="A174" s="122" t="s">
        <v>443</v>
      </c>
      <c r="B174" s="103" t="s">
        <v>34</v>
      </c>
      <c r="C174" s="103"/>
      <c r="D174" s="183" t="s">
        <v>81</v>
      </c>
      <c r="E174" s="188">
        <f t="shared" si="17"/>
        <v>84480</v>
      </c>
      <c r="F174" s="188">
        <f t="shared" si="18"/>
        <v>41280</v>
      </c>
      <c r="G174" s="115">
        <v>41280</v>
      </c>
      <c r="H174" s="135"/>
      <c r="I174" s="135"/>
      <c r="J174" s="135"/>
      <c r="K174" s="135"/>
      <c r="L174" s="188">
        <f t="shared" si="19"/>
        <v>43200</v>
      </c>
      <c r="M174" s="136">
        <v>5400</v>
      </c>
      <c r="N174" s="135"/>
      <c r="O174" s="189">
        <v>10800</v>
      </c>
      <c r="P174" s="115"/>
      <c r="Q174" s="171">
        <v>14400</v>
      </c>
      <c r="R174" s="137">
        <v>7200</v>
      </c>
      <c r="S174" s="115"/>
      <c r="T174" s="137"/>
      <c r="U174" s="201">
        <v>2700</v>
      </c>
      <c r="V174" s="137"/>
      <c r="W174" s="135"/>
      <c r="X174" s="171">
        <v>2700</v>
      </c>
    </row>
    <row r="175" spans="1:24" s="1" customFormat="1" ht="22.5" hidden="1">
      <c r="A175" s="122" t="s">
        <v>444</v>
      </c>
      <c r="B175" s="103" t="s">
        <v>34</v>
      </c>
      <c r="C175" s="103"/>
      <c r="D175" s="183" t="s">
        <v>82</v>
      </c>
      <c r="E175" s="188">
        <f t="shared" si="17"/>
        <v>14840</v>
      </c>
      <c r="F175" s="188">
        <f t="shared" si="18"/>
        <v>0</v>
      </c>
      <c r="G175" s="115"/>
      <c r="H175" s="135"/>
      <c r="I175" s="135"/>
      <c r="J175" s="135"/>
      <c r="K175" s="135"/>
      <c r="L175" s="188">
        <f t="shared" si="19"/>
        <v>14840</v>
      </c>
      <c r="M175" s="136">
        <v>800</v>
      </c>
      <c r="N175" s="135"/>
      <c r="O175" s="189">
        <v>9600</v>
      </c>
      <c r="P175" s="115"/>
      <c r="Q175" s="171">
        <v>1920</v>
      </c>
      <c r="R175" s="137">
        <v>960</v>
      </c>
      <c r="S175" s="115"/>
      <c r="T175" s="137"/>
      <c r="U175" s="201">
        <v>360</v>
      </c>
      <c r="V175" s="137"/>
      <c r="W175" s="135"/>
      <c r="X175" s="171">
        <v>1200</v>
      </c>
    </row>
    <row r="176" spans="1:24" s="1" customFormat="1" ht="22.5" hidden="1">
      <c r="A176" s="122" t="s">
        <v>445</v>
      </c>
      <c r="B176" s="103" t="s">
        <v>34</v>
      </c>
      <c r="C176" s="103"/>
      <c r="D176" s="192" t="s">
        <v>83</v>
      </c>
      <c r="E176" s="188">
        <f t="shared" si="17"/>
        <v>5400</v>
      </c>
      <c r="F176" s="188">
        <f t="shared" si="18"/>
        <v>0</v>
      </c>
      <c r="G176" s="115"/>
      <c r="H176" s="135"/>
      <c r="I176" s="135"/>
      <c r="J176" s="135"/>
      <c r="K176" s="135"/>
      <c r="L176" s="188">
        <f t="shared" si="19"/>
        <v>5400</v>
      </c>
      <c r="M176" s="136"/>
      <c r="N176" s="135"/>
      <c r="O176" s="189"/>
      <c r="P176" s="115"/>
      <c r="Q176" s="171"/>
      <c r="R176" s="137"/>
      <c r="S176" s="115"/>
      <c r="T176" s="137"/>
      <c r="U176" s="201">
        <v>2400</v>
      </c>
      <c r="V176" s="137"/>
      <c r="W176" s="135"/>
      <c r="X176" s="171">
        <v>3000</v>
      </c>
    </row>
    <row r="177" spans="1:24" s="1" customFormat="1" ht="33.75" hidden="1">
      <c r="A177" s="122" t="s">
        <v>446</v>
      </c>
      <c r="B177" s="103" t="s">
        <v>34</v>
      </c>
      <c r="C177" s="103"/>
      <c r="D177" s="192" t="s">
        <v>84</v>
      </c>
      <c r="E177" s="188">
        <f t="shared" si="17"/>
        <v>600</v>
      </c>
      <c r="F177" s="188">
        <f t="shared" si="18"/>
        <v>0</v>
      </c>
      <c r="G177" s="115"/>
      <c r="H177" s="135"/>
      <c r="I177" s="135"/>
      <c r="J177" s="135"/>
      <c r="K177" s="135"/>
      <c r="L177" s="188">
        <f t="shared" si="19"/>
        <v>600</v>
      </c>
      <c r="M177" s="136"/>
      <c r="N177" s="135"/>
      <c r="O177" s="189"/>
      <c r="P177" s="115"/>
      <c r="Q177" s="171"/>
      <c r="R177" s="137">
        <v>0</v>
      </c>
      <c r="S177" s="115"/>
      <c r="T177" s="137"/>
      <c r="U177" s="201">
        <v>600</v>
      </c>
      <c r="V177" s="137"/>
      <c r="W177" s="135"/>
      <c r="X177" s="171"/>
    </row>
    <row r="178" spans="1:24" s="1" customFormat="1" ht="22.5" hidden="1">
      <c r="A178" s="122" t="s">
        <v>447</v>
      </c>
      <c r="B178" s="103" t="s">
        <v>34</v>
      </c>
      <c r="C178" s="103"/>
      <c r="D178" s="192" t="s">
        <v>85</v>
      </c>
      <c r="E178" s="188">
        <f t="shared" si="17"/>
        <v>13650</v>
      </c>
      <c r="F178" s="188">
        <f t="shared" si="18"/>
        <v>0</v>
      </c>
      <c r="G178" s="115"/>
      <c r="H178" s="135"/>
      <c r="I178" s="135"/>
      <c r="J178" s="135"/>
      <c r="K178" s="135"/>
      <c r="L178" s="188">
        <f t="shared" si="19"/>
        <v>13650</v>
      </c>
      <c r="M178" s="136">
        <v>3600</v>
      </c>
      <c r="N178" s="135"/>
      <c r="O178" s="189"/>
      <c r="P178" s="115"/>
      <c r="Q178" s="171">
        <v>4800</v>
      </c>
      <c r="R178" s="137">
        <v>2400</v>
      </c>
      <c r="S178" s="115"/>
      <c r="T178" s="137"/>
      <c r="U178" s="201">
        <v>1800</v>
      </c>
      <c r="V178" s="137"/>
      <c r="W178" s="135"/>
      <c r="X178" s="171">
        <v>1050</v>
      </c>
    </row>
    <row r="179" spans="1:24" s="1" customFormat="1" hidden="1">
      <c r="A179" s="122">
        <v>13</v>
      </c>
      <c r="B179" s="103" t="s">
        <v>34</v>
      </c>
      <c r="C179" s="103"/>
      <c r="D179" s="191" t="s">
        <v>448</v>
      </c>
      <c r="E179" s="188">
        <f t="shared" si="17"/>
        <v>144458</v>
      </c>
      <c r="F179" s="188">
        <f t="shared" si="18"/>
        <v>94260</v>
      </c>
      <c r="G179" s="171">
        <v>94260</v>
      </c>
      <c r="H179" s="135"/>
      <c r="I179" s="135"/>
      <c r="J179" s="135"/>
      <c r="K179" s="135"/>
      <c r="L179" s="188">
        <f t="shared" si="19"/>
        <v>50198</v>
      </c>
      <c r="M179" s="169"/>
      <c r="N179" s="135">
        <v>960</v>
      </c>
      <c r="O179" s="189">
        <v>1600</v>
      </c>
      <c r="P179" s="171">
        <v>5150</v>
      </c>
      <c r="Q179" s="171">
        <v>6736</v>
      </c>
      <c r="R179" s="171">
        <v>8640</v>
      </c>
      <c r="S179" s="115">
        <v>4600</v>
      </c>
      <c r="T179" s="171"/>
      <c r="U179" s="201">
        <v>17112</v>
      </c>
      <c r="V179" s="171">
        <v>2520</v>
      </c>
      <c r="W179" s="135">
        <v>1440</v>
      </c>
      <c r="X179" s="171">
        <v>1440</v>
      </c>
    </row>
    <row r="180" spans="1:24" s="1" customFormat="1" hidden="1">
      <c r="A180" s="122">
        <v>14</v>
      </c>
      <c r="B180" s="103" t="s">
        <v>34</v>
      </c>
      <c r="C180" s="103"/>
      <c r="D180" s="215" t="s">
        <v>212</v>
      </c>
      <c r="E180" s="188">
        <f t="shared" si="17"/>
        <v>19260</v>
      </c>
      <c r="F180" s="188">
        <f t="shared" si="18"/>
        <v>0</v>
      </c>
      <c r="G180" s="171"/>
      <c r="H180" s="135"/>
      <c r="I180" s="135"/>
      <c r="J180" s="135"/>
      <c r="K180" s="135"/>
      <c r="L180" s="188">
        <f t="shared" si="19"/>
        <v>19260</v>
      </c>
      <c r="M180" s="169"/>
      <c r="N180" s="135">
        <v>10860</v>
      </c>
      <c r="O180" s="189"/>
      <c r="P180" s="171"/>
      <c r="Q180" s="216"/>
      <c r="R180" s="171"/>
      <c r="S180" s="115"/>
      <c r="T180" s="171"/>
      <c r="U180" s="201">
        <v>8400</v>
      </c>
      <c r="V180" s="171"/>
      <c r="W180" s="135"/>
      <c r="X180" s="171"/>
    </row>
    <row r="181" spans="1:24" s="1" customFormat="1" ht="22.5" hidden="1">
      <c r="A181" s="122">
        <v>15</v>
      </c>
      <c r="B181" s="103" t="s">
        <v>34</v>
      </c>
      <c r="C181" s="103"/>
      <c r="D181" s="217" t="s">
        <v>449</v>
      </c>
      <c r="E181" s="188">
        <f t="shared" si="17"/>
        <v>24102</v>
      </c>
      <c r="F181" s="188">
        <f t="shared" si="18"/>
        <v>0</v>
      </c>
      <c r="G181" s="171"/>
      <c r="H181" s="135"/>
      <c r="I181" s="135"/>
      <c r="J181" s="135"/>
      <c r="K181" s="135"/>
      <c r="L181" s="188">
        <f t="shared" si="19"/>
        <v>24102</v>
      </c>
      <c r="M181" s="169"/>
      <c r="N181" s="135"/>
      <c r="O181" s="189"/>
      <c r="P181" s="171"/>
      <c r="Q181" s="216">
        <v>6930</v>
      </c>
      <c r="R181" s="171"/>
      <c r="S181" s="115"/>
      <c r="T181" s="171">
        <v>11752</v>
      </c>
      <c r="U181" s="201"/>
      <c r="V181" s="171">
        <v>5420</v>
      </c>
      <c r="W181" s="135"/>
      <c r="X181" s="171"/>
    </row>
    <row r="182" spans="1:24" s="1" customFormat="1" hidden="1">
      <c r="A182" s="122">
        <v>16</v>
      </c>
      <c r="B182" s="103" t="s">
        <v>34</v>
      </c>
      <c r="C182" s="103"/>
      <c r="D182" s="104" t="s">
        <v>290</v>
      </c>
      <c r="E182" s="188">
        <f t="shared" si="17"/>
        <v>0</v>
      </c>
      <c r="F182" s="188">
        <f t="shared" si="18"/>
        <v>0</v>
      </c>
      <c r="G182" s="171"/>
      <c r="H182" s="135"/>
      <c r="I182" s="135"/>
      <c r="J182" s="135"/>
      <c r="K182" s="135"/>
      <c r="L182" s="188">
        <f t="shared" si="19"/>
        <v>0</v>
      </c>
      <c r="M182" s="169"/>
      <c r="N182" s="135"/>
      <c r="O182" s="189"/>
      <c r="P182" s="171"/>
      <c r="Q182" s="216"/>
      <c r="R182" s="171"/>
      <c r="S182" s="115"/>
      <c r="T182" s="171"/>
      <c r="U182" s="201"/>
      <c r="V182" s="171"/>
      <c r="W182" s="135"/>
      <c r="X182" s="171"/>
    </row>
    <row r="183" spans="1:24" s="1" customFormat="1" hidden="1">
      <c r="A183" s="122">
        <v>17</v>
      </c>
      <c r="B183" s="103" t="s">
        <v>34</v>
      </c>
      <c r="C183" s="103"/>
      <c r="D183" s="104" t="s">
        <v>292</v>
      </c>
      <c r="E183" s="188">
        <f t="shared" si="17"/>
        <v>0</v>
      </c>
      <c r="F183" s="188">
        <f t="shared" si="18"/>
        <v>0</v>
      </c>
      <c r="G183" s="171"/>
      <c r="H183" s="135"/>
      <c r="I183" s="135"/>
      <c r="J183" s="135"/>
      <c r="K183" s="135"/>
      <c r="L183" s="188">
        <f t="shared" si="19"/>
        <v>0</v>
      </c>
      <c r="M183" s="169"/>
      <c r="N183" s="135"/>
      <c r="O183" s="189"/>
      <c r="P183" s="171"/>
      <c r="Q183" s="216"/>
      <c r="R183" s="171"/>
      <c r="S183" s="115"/>
      <c r="T183" s="171"/>
      <c r="U183" s="201"/>
      <c r="V183" s="171"/>
      <c r="W183" s="135"/>
      <c r="X183" s="171"/>
    </row>
    <row r="184" spans="1:24" s="1" customFormat="1" hidden="1">
      <c r="A184" s="122">
        <v>18</v>
      </c>
      <c r="B184" s="103" t="s">
        <v>34</v>
      </c>
      <c r="C184" s="103"/>
      <c r="D184" s="104" t="s">
        <v>291</v>
      </c>
      <c r="E184" s="188">
        <f t="shared" si="17"/>
        <v>50500</v>
      </c>
      <c r="F184" s="188">
        <f t="shared" si="18"/>
        <v>50000</v>
      </c>
      <c r="G184" s="171">
        <v>50000</v>
      </c>
      <c r="H184" s="135"/>
      <c r="I184" s="135"/>
      <c r="J184" s="135"/>
      <c r="K184" s="135"/>
      <c r="L184" s="188">
        <f t="shared" si="19"/>
        <v>500</v>
      </c>
      <c r="M184" s="169"/>
      <c r="N184" s="135"/>
      <c r="O184" s="189"/>
      <c r="P184" s="171"/>
      <c r="Q184" s="216"/>
      <c r="R184" s="171"/>
      <c r="S184" s="115"/>
      <c r="T184" s="171"/>
      <c r="U184" s="201">
        <v>500</v>
      </c>
      <c r="V184" s="171"/>
      <c r="W184" s="135"/>
      <c r="X184" s="171"/>
    </row>
    <row r="185" spans="1:24" s="569" customFormat="1" ht="33.75" hidden="1">
      <c r="A185" s="559">
        <v>19</v>
      </c>
      <c r="B185" s="560" t="s">
        <v>34</v>
      </c>
      <c r="C185" s="560" t="s">
        <v>609</v>
      </c>
      <c r="D185" s="570" t="s">
        <v>450</v>
      </c>
      <c r="E185" s="562">
        <f t="shared" si="17"/>
        <v>29580</v>
      </c>
      <c r="F185" s="562">
        <f t="shared" si="18"/>
        <v>0</v>
      </c>
      <c r="G185" s="571"/>
      <c r="H185" s="564"/>
      <c r="I185" s="564"/>
      <c r="J185" s="564"/>
      <c r="K185" s="564"/>
      <c r="L185" s="562">
        <f t="shared" si="19"/>
        <v>29580</v>
      </c>
      <c r="M185" s="572"/>
      <c r="N185" s="564"/>
      <c r="O185" s="566"/>
      <c r="P185" s="571">
        <v>7200</v>
      </c>
      <c r="Q185" s="573">
        <v>2880</v>
      </c>
      <c r="R185" s="571"/>
      <c r="S185" s="563">
        <v>7500</v>
      </c>
      <c r="T185" s="571"/>
      <c r="U185" s="574"/>
      <c r="V185" s="571">
        <v>9000</v>
      </c>
      <c r="W185" s="564"/>
      <c r="X185" s="571">
        <v>3000</v>
      </c>
    </row>
    <row r="186" spans="1:24" s="1" customFormat="1" hidden="1">
      <c r="A186" s="122">
        <v>20</v>
      </c>
      <c r="B186" s="103" t="s">
        <v>34</v>
      </c>
      <c r="C186" s="103"/>
      <c r="D186" s="104" t="s">
        <v>451</v>
      </c>
      <c r="E186" s="188">
        <f t="shared" si="17"/>
        <v>54361</v>
      </c>
      <c r="F186" s="188">
        <f t="shared" si="18"/>
        <v>0</v>
      </c>
      <c r="G186" s="171"/>
      <c r="H186" s="135"/>
      <c r="I186" s="135"/>
      <c r="J186" s="135"/>
      <c r="K186" s="135"/>
      <c r="L186" s="188">
        <f t="shared" si="19"/>
        <v>54361</v>
      </c>
      <c r="M186" s="169">
        <v>800</v>
      </c>
      <c r="N186" s="135"/>
      <c r="O186" s="189"/>
      <c r="P186" s="171">
        <v>6488</v>
      </c>
      <c r="Q186" s="216"/>
      <c r="R186" s="171"/>
      <c r="S186" s="115"/>
      <c r="T186" s="171">
        <v>3600</v>
      </c>
      <c r="U186" s="201"/>
      <c r="V186" s="171">
        <v>9800</v>
      </c>
      <c r="W186" s="135">
        <v>29773</v>
      </c>
      <c r="X186" s="171">
        <v>3900</v>
      </c>
    </row>
    <row r="187" spans="1:24" s="3" customFormat="1" ht="21" hidden="1">
      <c r="A187" s="131" t="s">
        <v>247</v>
      </c>
      <c r="B187" s="98" t="s">
        <v>34</v>
      </c>
      <c r="C187" s="98"/>
      <c r="D187" s="218" t="s">
        <v>237</v>
      </c>
      <c r="E187" s="100">
        <f t="shared" si="17"/>
        <v>1701561</v>
      </c>
      <c r="F187" s="100">
        <f t="shared" si="18"/>
        <v>580000</v>
      </c>
      <c r="G187" s="101">
        <f>SUM(G188:G205)</f>
        <v>580000</v>
      </c>
      <c r="H187" s="101">
        <f>SUM(H188:H205)</f>
        <v>0</v>
      </c>
      <c r="I187" s="101">
        <f>SUM(I188:I205)</f>
        <v>0</v>
      </c>
      <c r="J187" s="101">
        <f>SUM(J188:J205)</f>
        <v>0</v>
      </c>
      <c r="K187" s="101">
        <f>SUM(K188:K205)</f>
        <v>0</v>
      </c>
      <c r="L187" s="100">
        <f t="shared" si="19"/>
        <v>1121561</v>
      </c>
      <c r="M187" s="101">
        <f t="shared" ref="M187:X187" si="23">SUM(M188:M205)</f>
        <v>101593</v>
      </c>
      <c r="N187" s="101">
        <f t="shared" si="23"/>
        <v>60400</v>
      </c>
      <c r="O187" s="101">
        <f t="shared" si="23"/>
        <v>55724</v>
      </c>
      <c r="P187" s="101">
        <f t="shared" si="23"/>
        <v>128732</v>
      </c>
      <c r="Q187" s="101">
        <f t="shared" si="23"/>
        <v>55386</v>
      </c>
      <c r="R187" s="101">
        <f t="shared" si="23"/>
        <v>46970</v>
      </c>
      <c r="S187" s="101">
        <f t="shared" si="23"/>
        <v>119258</v>
      </c>
      <c r="T187" s="101">
        <f t="shared" si="23"/>
        <v>189688</v>
      </c>
      <c r="U187" s="101">
        <f t="shared" si="23"/>
        <v>147604</v>
      </c>
      <c r="V187" s="101">
        <f t="shared" si="23"/>
        <v>65050</v>
      </c>
      <c r="W187" s="101">
        <f t="shared" si="23"/>
        <v>47716</v>
      </c>
      <c r="X187" s="101">
        <f t="shared" si="23"/>
        <v>103440</v>
      </c>
    </row>
    <row r="188" spans="1:24" s="1" customFormat="1" ht="45" hidden="1">
      <c r="A188" s="122">
        <v>1</v>
      </c>
      <c r="B188" s="103" t="s">
        <v>34</v>
      </c>
      <c r="C188" s="103" t="s">
        <v>34</v>
      </c>
      <c r="D188" s="576" t="s">
        <v>441</v>
      </c>
      <c r="E188" s="188">
        <f t="shared" si="17"/>
        <v>10000</v>
      </c>
      <c r="F188" s="188">
        <f t="shared" si="18"/>
        <v>10000</v>
      </c>
      <c r="G188" s="135">
        <v>10000</v>
      </c>
      <c r="H188" s="135"/>
      <c r="I188" s="135"/>
      <c r="J188" s="135"/>
      <c r="K188" s="135"/>
      <c r="L188" s="188">
        <f t="shared" si="19"/>
        <v>0</v>
      </c>
      <c r="M188" s="135"/>
      <c r="N188" s="135"/>
      <c r="O188" s="110"/>
      <c r="P188" s="135"/>
      <c r="Q188" s="135"/>
      <c r="R188" s="135"/>
      <c r="S188" s="135"/>
      <c r="T188" s="135"/>
      <c r="U188" s="135"/>
      <c r="V188" s="135"/>
      <c r="W188" s="135"/>
      <c r="X188" s="135"/>
    </row>
    <row r="189" spans="1:24" s="1" customFormat="1" hidden="1">
      <c r="A189" s="196">
        <v>2</v>
      </c>
      <c r="B189" s="103" t="s">
        <v>34</v>
      </c>
      <c r="C189" s="103"/>
      <c r="D189" s="183" t="s">
        <v>86</v>
      </c>
      <c r="E189" s="188">
        <f t="shared" si="17"/>
        <v>27000</v>
      </c>
      <c r="F189" s="188">
        <f t="shared" si="18"/>
        <v>0</v>
      </c>
      <c r="G189" s="189"/>
      <c r="H189" s="135"/>
      <c r="I189" s="135"/>
      <c r="J189" s="135"/>
      <c r="K189" s="135"/>
      <c r="L189" s="188">
        <f t="shared" si="19"/>
        <v>27000</v>
      </c>
      <c r="M189" s="136"/>
      <c r="N189" s="135">
        <v>3500</v>
      </c>
      <c r="O189" s="189"/>
      <c r="P189" s="115"/>
      <c r="Q189" s="171"/>
      <c r="R189" s="137"/>
      <c r="S189" s="115">
        <v>4900</v>
      </c>
      <c r="T189" s="137"/>
      <c r="U189" s="136">
        <v>18600</v>
      </c>
      <c r="V189" s="137"/>
      <c r="W189" s="137"/>
      <c r="X189" s="137"/>
    </row>
    <row r="190" spans="1:24" s="1" customFormat="1" ht="22.5" hidden="1">
      <c r="A190" s="196">
        <v>3</v>
      </c>
      <c r="B190" s="103" t="s">
        <v>34</v>
      </c>
      <c r="C190" s="552"/>
      <c r="D190" s="219" t="s">
        <v>483</v>
      </c>
      <c r="E190" s="188">
        <f t="shared" si="17"/>
        <v>93622</v>
      </c>
      <c r="F190" s="188">
        <f t="shared" si="18"/>
        <v>0</v>
      </c>
      <c r="G190" s="189"/>
      <c r="H190" s="135"/>
      <c r="I190" s="135"/>
      <c r="J190" s="135"/>
      <c r="K190" s="135"/>
      <c r="L190" s="188">
        <f t="shared" si="19"/>
        <v>93622</v>
      </c>
      <c r="M190" s="136"/>
      <c r="N190" s="135">
        <v>3400</v>
      </c>
      <c r="O190" s="220">
        <v>19164</v>
      </c>
      <c r="P190" s="115"/>
      <c r="Q190" s="221">
        <v>5800</v>
      </c>
      <c r="R190" s="137">
        <v>10650</v>
      </c>
      <c r="S190" s="115">
        <v>12000</v>
      </c>
      <c r="T190" s="137">
        <v>18808</v>
      </c>
      <c r="U190" s="136">
        <v>10000</v>
      </c>
      <c r="V190" s="137">
        <v>5420</v>
      </c>
      <c r="W190" s="137"/>
      <c r="X190" s="137">
        <v>8380</v>
      </c>
    </row>
    <row r="191" spans="1:24" s="1" customFormat="1" ht="45" hidden="1">
      <c r="A191" s="196">
        <v>4</v>
      </c>
      <c r="B191" s="103" t="s">
        <v>34</v>
      </c>
      <c r="C191" s="103"/>
      <c r="D191" s="183" t="s">
        <v>590</v>
      </c>
      <c r="E191" s="188">
        <f t="shared" si="17"/>
        <v>91850</v>
      </c>
      <c r="F191" s="188">
        <f t="shared" si="18"/>
        <v>25800</v>
      </c>
      <c r="G191" s="189">
        <v>25800</v>
      </c>
      <c r="H191" s="135"/>
      <c r="I191" s="135"/>
      <c r="J191" s="135"/>
      <c r="K191" s="135"/>
      <c r="L191" s="188">
        <f t="shared" si="19"/>
        <v>66050</v>
      </c>
      <c r="M191" s="136">
        <v>3300</v>
      </c>
      <c r="N191" s="135">
        <v>3500</v>
      </c>
      <c r="O191" s="220">
        <v>1180</v>
      </c>
      <c r="P191" s="115">
        <v>4600</v>
      </c>
      <c r="Q191" s="171">
        <v>2850</v>
      </c>
      <c r="R191" s="137">
        <v>3120</v>
      </c>
      <c r="S191" s="115">
        <v>16200</v>
      </c>
      <c r="T191" s="135">
        <v>1620</v>
      </c>
      <c r="U191" s="136">
        <v>18600</v>
      </c>
      <c r="V191" s="137">
        <v>2860</v>
      </c>
      <c r="W191" s="199">
        <v>6120</v>
      </c>
      <c r="X191" s="137">
        <v>2100</v>
      </c>
    </row>
    <row r="192" spans="1:24" s="1" customFormat="1" ht="22.5" hidden="1">
      <c r="A192" s="196">
        <v>5</v>
      </c>
      <c r="B192" s="103" t="s">
        <v>34</v>
      </c>
      <c r="C192" s="103"/>
      <c r="D192" s="577" t="s">
        <v>484</v>
      </c>
      <c r="E192" s="188">
        <f t="shared" si="17"/>
        <v>217936</v>
      </c>
      <c r="F192" s="188">
        <f t="shared" si="18"/>
        <v>167720</v>
      </c>
      <c r="G192" s="135">
        <v>167720</v>
      </c>
      <c r="H192" s="135"/>
      <c r="I192" s="135"/>
      <c r="J192" s="135"/>
      <c r="K192" s="135"/>
      <c r="L192" s="188">
        <f t="shared" si="19"/>
        <v>50216</v>
      </c>
      <c r="M192" s="136"/>
      <c r="N192" s="135"/>
      <c r="O192" s="189"/>
      <c r="P192" s="137">
        <v>1040</v>
      </c>
      <c r="Q192" s="216">
        <v>6736</v>
      </c>
      <c r="R192" s="137">
        <v>14640</v>
      </c>
      <c r="S192" s="115">
        <v>5000</v>
      </c>
      <c r="T192" s="137">
        <v>4650</v>
      </c>
      <c r="U192" s="136">
        <v>10000</v>
      </c>
      <c r="V192" s="137">
        <v>3500</v>
      </c>
      <c r="W192" s="135"/>
      <c r="X192" s="137">
        <v>4650</v>
      </c>
    </row>
    <row r="193" spans="1:26" s="1" customFormat="1" ht="22.5" hidden="1">
      <c r="A193" s="196">
        <v>6</v>
      </c>
      <c r="B193" s="103" t="s">
        <v>34</v>
      </c>
      <c r="C193" s="103"/>
      <c r="D193" s="183" t="s">
        <v>88</v>
      </c>
      <c r="E193" s="188">
        <f t="shared" si="17"/>
        <v>533030</v>
      </c>
      <c r="F193" s="188">
        <f t="shared" si="18"/>
        <v>41280</v>
      </c>
      <c r="G193" s="72">
        <v>41280</v>
      </c>
      <c r="H193" s="135"/>
      <c r="I193" s="135"/>
      <c r="J193" s="135"/>
      <c r="K193" s="135"/>
      <c r="L193" s="188">
        <f t="shared" si="19"/>
        <v>491750</v>
      </c>
      <c r="M193" s="136">
        <v>18920</v>
      </c>
      <c r="N193" s="135">
        <v>12000</v>
      </c>
      <c r="O193" s="220">
        <v>30600</v>
      </c>
      <c r="P193" s="115">
        <v>80000</v>
      </c>
      <c r="Q193" s="135">
        <v>37120</v>
      </c>
      <c r="R193" s="137">
        <v>18560</v>
      </c>
      <c r="S193" s="115">
        <v>28380</v>
      </c>
      <c r="T193" s="137">
        <v>147460</v>
      </c>
      <c r="U193" s="136">
        <v>35000</v>
      </c>
      <c r="V193" s="137">
        <v>13750</v>
      </c>
      <c r="W193" s="137"/>
      <c r="X193" s="137">
        <v>69960</v>
      </c>
    </row>
    <row r="194" spans="1:26" s="1" customFormat="1" hidden="1">
      <c r="A194" s="196">
        <v>7</v>
      </c>
      <c r="B194" s="103" t="s">
        <v>34</v>
      </c>
      <c r="C194" s="103"/>
      <c r="D194" s="192" t="s">
        <v>38</v>
      </c>
      <c r="E194" s="188">
        <f t="shared" si="17"/>
        <v>93500</v>
      </c>
      <c r="F194" s="188">
        <f t="shared" si="18"/>
        <v>0</v>
      </c>
      <c r="G194" s="115"/>
      <c r="H194" s="135"/>
      <c r="I194" s="135"/>
      <c r="J194" s="135"/>
      <c r="K194" s="135"/>
      <c r="L194" s="188">
        <f t="shared" si="19"/>
        <v>93500</v>
      </c>
      <c r="M194" s="136">
        <v>19200</v>
      </c>
      <c r="N194" s="135">
        <v>9500</v>
      </c>
      <c r="O194" s="189"/>
      <c r="P194" s="115">
        <v>18000</v>
      </c>
      <c r="Q194" s="171"/>
      <c r="R194" s="137"/>
      <c r="S194" s="115">
        <v>16800</v>
      </c>
      <c r="T194" s="171">
        <v>4800</v>
      </c>
      <c r="U194" s="136">
        <v>9000</v>
      </c>
      <c r="V194" s="137">
        <v>16200</v>
      </c>
      <c r="W194" s="137"/>
      <c r="X194" s="137"/>
    </row>
    <row r="195" spans="1:26" s="1" customFormat="1" hidden="1">
      <c r="A195" s="196">
        <v>8</v>
      </c>
      <c r="B195" s="103" t="s">
        <v>34</v>
      </c>
      <c r="C195" s="578" t="s">
        <v>438</v>
      </c>
      <c r="D195" s="578" t="s">
        <v>438</v>
      </c>
      <c r="E195" s="188">
        <f t="shared" si="17"/>
        <v>124814</v>
      </c>
      <c r="F195" s="188">
        <f t="shared" si="18"/>
        <v>0</v>
      </c>
      <c r="G195" s="115"/>
      <c r="H195" s="135"/>
      <c r="I195" s="135"/>
      <c r="J195" s="135"/>
      <c r="K195" s="135"/>
      <c r="L195" s="188">
        <f t="shared" si="19"/>
        <v>124814</v>
      </c>
      <c r="M195" s="136"/>
      <c r="N195" s="135"/>
      <c r="O195" s="223">
        <v>3600</v>
      </c>
      <c r="P195" s="115">
        <v>3600</v>
      </c>
      <c r="Q195" s="221">
        <v>2880</v>
      </c>
      <c r="R195" s="137"/>
      <c r="S195" s="115">
        <v>32378</v>
      </c>
      <c r="T195" s="137">
        <v>12350</v>
      </c>
      <c r="U195" s="136"/>
      <c r="V195" s="137">
        <v>19720</v>
      </c>
      <c r="W195" s="199">
        <v>37936</v>
      </c>
      <c r="X195" s="137">
        <v>12350</v>
      </c>
    </row>
    <row r="196" spans="1:26" s="1" customFormat="1" ht="22.5" hidden="1">
      <c r="A196" s="196">
        <v>9</v>
      </c>
      <c r="B196" s="103" t="s">
        <v>34</v>
      </c>
      <c r="C196" s="560"/>
      <c r="D196" s="579" t="s">
        <v>612</v>
      </c>
      <c r="E196" s="188">
        <f t="shared" si="17"/>
        <v>19009</v>
      </c>
      <c r="F196" s="188">
        <f t="shared" si="18"/>
        <v>0</v>
      </c>
      <c r="G196" s="115"/>
      <c r="H196" s="135"/>
      <c r="I196" s="135"/>
      <c r="J196" s="135"/>
      <c r="K196" s="135"/>
      <c r="L196" s="188">
        <f t="shared" si="19"/>
        <v>19009</v>
      </c>
      <c r="M196" s="136">
        <v>448</v>
      </c>
      <c r="N196" s="135"/>
      <c r="O196" s="189"/>
      <c r="P196" s="115">
        <v>3201</v>
      </c>
      <c r="Q196" s="221"/>
      <c r="R196" s="137"/>
      <c r="S196" s="115">
        <v>3600</v>
      </c>
      <c r="T196" s="137"/>
      <c r="U196" s="136"/>
      <c r="V196" s="137">
        <v>3600</v>
      </c>
      <c r="W196" s="199">
        <v>2160</v>
      </c>
      <c r="X196" s="137">
        <v>6000</v>
      </c>
    </row>
    <row r="197" spans="1:26" s="1" customFormat="1" hidden="1">
      <c r="A197" s="196">
        <v>10</v>
      </c>
      <c r="B197" s="103" t="s">
        <v>34</v>
      </c>
      <c r="C197" s="103"/>
      <c r="D197" s="104" t="s">
        <v>486</v>
      </c>
      <c r="E197" s="188">
        <f t="shared" si="17"/>
        <v>262378</v>
      </c>
      <c r="F197" s="188">
        <f t="shared" si="18"/>
        <v>200000</v>
      </c>
      <c r="G197" s="115">
        <v>200000</v>
      </c>
      <c r="H197" s="135"/>
      <c r="I197" s="135"/>
      <c r="J197" s="135"/>
      <c r="K197" s="135"/>
      <c r="L197" s="188">
        <f t="shared" si="19"/>
        <v>62378</v>
      </c>
      <c r="M197" s="136">
        <v>46787</v>
      </c>
      <c r="N197" s="135"/>
      <c r="O197" s="189"/>
      <c r="P197" s="115">
        <v>14091</v>
      </c>
      <c r="Q197" s="221">
        <v>0</v>
      </c>
      <c r="R197" s="137"/>
      <c r="S197" s="115"/>
      <c r="T197" s="137"/>
      <c r="U197" s="136"/>
      <c r="V197" s="137"/>
      <c r="W197" s="199">
        <v>1500</v>
      </c>
      <c r="X197" s="137"/>
    </row>
    <row r="198" spans="1:26" s="1" customFormat="1" ht="45" hidden="1">
      <c r="A198" s="196">
        <v>11</v>
      </c>
      <c r="B198" s="103" t="s">
        <v>34</v>
      </c>
      <c r="C198" s="103"/>
      <c r="D198" s="183" t="s">
        <v>487</v>
      </c>
      <c r="E198" s="188">
        <f t="shared" si="17"/>
        <v>48384</v>
      </c>
      <c r="F198" s="188">
        <f t="shared" si="18"/>
        <v>14000</v>
      </c>
      <c r="G198" s="72">
        <v>14000</v>
      </c>
      <c r="H198" s="135">
        <v>0</v>
      </c>
      <c r="I198" s="135"/>
      <c r="J198" s="135"/>
      <c r="K198" s="135"/>
      <c r="L198" s="188">
        <f t="shared" si="19"/>
        <v>34384</v>
      </c>
      <c r="M198" s="136">
        <v>4900</v>
      </c>
      <c r="N198" s="135">
        <v>3500</v>
      </c>
      <c r="O198" s="189"/>
      <c r="P198" s="115">
        <v>4200</v>
      </c>
      <c r="Q198" s="171"/>
      <c r="R198" s="137"/>
      <c r="S198" s="115"/>
      <c r="T198" s="189"/>
      <c r="U198" s="199">
        <v>21784</v>
      </c>
      <c r="V198" s="137"/>
      <c r="W198" s="135"/>
      <c r="X198" s="137"/>
      <c r="Z198" s="162"/>
    </row>
    <row r="199" spans="1:26" s="1" customFormat="1" ht="22.5" hidden="1">
      <c r="A199" s="196">
        <v>12</v>
      </c>
      <c r="B199" s="103" t="s">
        <v>34</v>
      </c>
      <c r="C199" s="103"/>
      <c r="D199" s="183" t="s">
        <v>488</v>
      </c>
      <c r="E199" s="188">
        <f t="shared" si="17"/>
        <v>131920</v>
      </c>
      <c r="F199" s="188">
        <f t="shared" si="18"/>
        <v>121200</v>
      </c>
      <c r="G199" s="135">
        <v>121200</v>
      </c>
      <c r="H199" s="135"/>
      <c r="I199" s="135"/>
      <c r="J199" s="135"/>
      <c r="K199" s="135"/>
      <c r="L199" s="188">
        <f t="shared" si="19"/>
        <v>10720</v>
      </c>
      <c r="M199" s="136">
        <v>1520</v>
      </c>
      <c r="N199" s="135">
        <v>8000</v>
      </c>
      <c r="O199" s="189"/>
      <c r="P199" s="115"/>
      <c r="Q199" s="171"/>
      <c r="R199" s="137"/>
      <c r="S199" s="115"/>
      <c r="T199" s="189"/>
      <c r="U199" s="199">
        <v>1200</v>
      </c>
      <c r="V199" s="137"/>
      <c r="W199" s="135"/>
      <c r="X199" s="137"/>
    </row>
    <row r="200" spans="1:26" s="1" customFormat="1" ht="22.5" hidden="1">
      <c r="A200" s="196">
        <v>13</v>
      </c>
      <c r="B200" s="103" t="s">
        <v>34</v>
      </c>
      <c r="C200" s="103"/>
      <c r="D200" s="183" t="s">
        <v>232</v>
      </c>
      <c r="E200" s="188">
        <f t="shared" si="17"/>
        <v>13320</v>
      </c>
      <c r="F200" s="188">
        <f t="shared" si="18"/>
        <v>0</v>
      </c>
      <c r="G200" s="135"/>
      <c r="H200" s="135"/>
      <c r="I200" s="135"/>
      <c r="J200" s="135"/>
      <c r="K200" s="135"/>
      <c r="L200" s="188">
        <f t="shared" si="19"/>
        <v>13320</v>
      </c>
      <c r="M200" s="136">
        <v>300</v>
      </c>
      <c r="N200" s="135">
        <v>2500</v>
      </c>
      <c r="O200" s="203"/>
      <c r="P200" s="137"/>
      <c r="Q200" s="216"/>
      <c r="R200" s="137"/>
      <c r="S200" s="115"/>
      <c r="T200" s="189"/>
      <c r="U200" s="199">
        <v>10520</v>
      </c>
      <c r="V200" s="137"/>
      <c r="W200" s="135"/>
      <c r="X200" s="137"/>
    </row>
    <row r="201" spans="1:26" s="1" customFormat="1" ht="22.5" hidden="1">
      <c r="A201" s="196">
        <v>14</v>
      </c>
      <c r="B201" s="103" t="s">
        <v>34</v>
      </c>
      <c r="C201" s="103"/>
      <c r="D201" s="183" t="s">
        <v>489</v>
      </c>
      <c r="E201" s="188">
        <f t="shared" si="17"/>
        <v>15080</v>
      </c>
      <c r="F201" s="188">
        <f t="shared" si="18"/>
        <v>0</v>
      </c>
      <c r="G201" s="135"/>
      <c r="H201" s="135"/>
      <c r="I201" s="135"/>
      <c r="J201" s="135"/>
      <c r="K201" s="135"/>
      <c r="L201" s="188">
        <f t="shared" si="19"/>
        <v>15080</v>
      </c>
      <c r="M201" s="136"/>
      <c r="N201" s="135">
        <v>11000</v>
      </c>
      <c r="O201" s="225">
        <v>1180</v>
      </c>
      <c r="P201" s="137"/>
      <c r="Q201" s="216"/>
      <c r="R201" s="137"/>
      <c r="S201" s="115"/>
      <c r="T201" s="189"/>
      <c r="U201" s="199">
        <v>2900</v>
      </c>
      <c r="V201" s="137"/>
      <c r="W201" s="135"/>
      <c r="X201" s="137"/>
    </row>
    <row r="202" spans="1:26" s="1" customFormat="1" ht="22.5" hidden="1">
      <c r="A202" s="196">
        <v>15</v>
      </c>
      <c r="B202" s="103" t="s">
        <v>34</v>
      </c>
      <c r="C202" s="103"/>
      <c r="D202" s="226" t="s">
        <v>490</v>
      </c>
      <c r="E202" s="188">
        <f t="shared" ref="E202:E265" si="24">F202+L202</f>
        <v>1040</v>
      </c>
      <c r="F202" s="188">
        <f t="shared" ref="F202:F265" si="25">SUM(G202:K202)</f>
        <v>0</v>
      </c>
      <c r="G202" s="135"/>
      <c r="H202" s="135"/>
      <c r="I202" s="135"/>
      <c r="J202" s="135"/>
      <c r="K202" s="135"/>
      <c r="L202" s="188">
        <f t="shared" ref="L202:L265" si="26">SUM(M202:X202)</f>
        <v>1040</v>
      </c>
      <c r="M202" s="136">
        <v>1040</v>
      </c>
      <c r="N202" s="135"/>
      <c r="O202" s="227"/>
      <c r="P202" s="137"/>
      <c r="Q202" s="216"/>
      <c r="R202" s="137"/>
      <c r="S202" s="115"/>
      <c r="T202" s="189"/>
      <c r="U202" s="199"/>
      <c r="V202" s="137"/>
      <c r="W202" s="135"/>
      <c r="X202" s="137"/>
    </row>
    <row r="203" spans="1:26" s="1" customFormat="1" ht="22.5" hidden="1">
      <c r="A203" s="196">
        <v>16</v>
      </c>
      <c r="B203" s="103" t="s">
        <v>34</v>
      </c>
      <c r="C203" s="553"/>
      <c r="D203" s="228" t="s">
        <v>491</v>
      </c>
      <c r="E203" s="188">
        <f t="shared" si="24"/>
        <v>5178</v>
      </c>
      <c r="F203" s="188">
        <f t="shared" si="25"/>
        <v>0</v>
      </c>
      <c r="G203" s="135"/>
      <c r="H203" s="135"/>
      <c r="I203" s="135"/>
      <c r="J203" s="135"/>
      <c r="K203" s="135"/>
      <c r="L203" s="188">
        <f t="shared" si="26"/>
        <v>5178</v>
      </c>
      <c r="M203" s="136">
        <v>5178</v>
      </c>
      <c r="N203" s="135"/>
      <c r="O203" s="229"/>
      <c r="P203" s="137"/>
      <c r="Q203" s="216"/>
      <c r="R203" s="137"/>
      <c r="S203" s="115"/>
      <c r="T203" s="189"/>
      <c r="U203" s="199"/>
      <c r="V203" s="137"/>
      <c r="W203" s="135"/>
      <c r="X203" s="137"/>
    </row>
    <row r="204" spans="1:26" s="1" customFormat="1" ht="22.5" hidden="1">
      <c r="A204" s="196">
        <v>18</v>
      </c>
      <c r="B204" s="103" t="s">
        <v>34</v>
      </c>
      <c r="C204" s="103"/>
      <c r="D204" s="183" t="s">
        <v>89</v>
      </c>
      <c r="E204" s="188">
        <f t="shared" si="24"/>
        <v>10000</v>
      </c>
      <c r="F204" s="188">
        <f t="shared" si="25"/>
        <v>0</v>
      </c>
      <c r="G204" s="135"/>
      <c r="H204" s="135"/>
      <c r="I204" s="135"/>
      <c r="J204" s="135"/>
      <c r="K204" s="135"/>
      <c r="L204" s="188">
        <f t="shared" si="26"/>
        <v>10000</v>
      </c>
      <c r="M204" s="136"/>
      <c r="N204" s="135"/>
      <c r="O204" s="189"/>
      <c r="P204" s="115"/>
      <c r="Q204" s="171"/>
      <c r="R204" s="137"/>
      <c r="S204" s="115"/>
      <c r="T204" s="137"/>
      <c r="U204" s="115">
        <v>10000</v>
      </c>
      <c r="V204" s="137"/>
      <c r="W204" s="135"/>
      <c r="X204" s="137"/>
    </row>
    <row r="205" spans="1:26" s="1" customFormat="1" hidden="1">
      <c r="A205" s="196">
        <v>19</v>
      </c>
      <c r="B205" s="103" t="s">
        <v>34</v>
      </c>
      <c r="C205" s="103"/>
      <c r="D205" s="183" t="s">
        <v>90</v>
      </c>
      <c r="E205" s="188">
        <f t="shared" si="24"/>
        <v>3500</v>
      </c>
      <c r="F205" s="188">
        <f t="shared" si="25"/>
        <v>0</v>
      </c>
      <c r="G205" s="135"/>
      <c r="H205" s="135"/>
      <c r="I205" s="135"/>
      <c r="J205" s="135"/>
      <c r="K205" s="135"/>
      <c r="L205" s="188">
        <f t="shared" si="26"/>
        <v>3500</v>
      </c>
      <c r="M205" s="136"/>
      <c r="N205" s="135">
        <v>3500</v>
      </c>
      <c r="O205" s="137"/>
      <c r="P205" s="115"/>
      <c r="Q205" s="171"/>
      <c r="R205" s="137"/>
      <c r="S205" s="115"/>
      <c r="T205" s="137"/>
      <c r="U205" s="135"/>
      <c r="V205" s="137"/>
      <c r="W205" s="135"/>
      <c r="X205" s="137"/>
    </row>
    <row r="206" spans="1:26" s="3" customFormat="1" ht="42" hidden="1">
      <c r="A206" s="131" t="s">
        <v>248</v>
      </c>
      <c r="B206" s="98" t="s">
        <v>34</v>
      </c>
      <c r="C206" s="98"/>
      <c r="D206" s="186" t="s">
        <v>24</v>
      </c>
      <c r="E206" s="100">
        <f t="shared" si="24"/>
        <v>389341.967</v>
      </c>
      <c r="F206" s="100">
        <f t="shared" si="25"/>
        <v>130000</v>
      </c>
      <c r="G206" s="101">
        <f>SUM(G207:G213)</f>
        <v>130000</v>
      </c>
      <c r="H206" s="101">
        <f t="shared" ref="H206:X206" si="27">SUM(H207:H213)</f>
        <v>0</v>
      </c>
      <c r="I206" s="101">
        <f t="shared" si="27"/>
        <v>0</v>
      </c>
      <c r="J206" s="101">
        <f t="shared" si="27"/>
        <v>0</v>
      </c>
      <c r="K206" s="101">
        <f t="shared" si="27"/>
        <v>0</v>
      </c>
      <c r="L206" s="51">
        <f t="shared" si="26"/>
        <v>259341.967</v>
      </c>
      <c r="M206" s="101">
        <f t="shared" si="27"/>
        <v>118746</v>
      </c>
      <c r="N206" s="101">
        <f t="shared" si="27"/>
        <v>25846.966999999997</v>
      </c>
      <c r="O206" s="101">
        <f t="shared" si="27"/>
        <v>3780</v>
      </c>
      <c r="P206" s="101">
        <f t="shared" si="27"/>
        <v>13680</v>
      </c>
      <c r="Q206" s="101">
        <f t="shared" si="27"/>
        <v>0</v>
      </c>
      <c r="R206" s="101">
        <f t="shared" si="27"/>
        <v>8700</v>
      </c>
      <c r="S206" s="101">
        <f t="shared" si="27"/>
        <v>24475</v>
      </c>
      <c r="T206" s="101">
        <f t="shared" si="27"/>
        <v>3640</v>
      </c>
      <c r="U206" s="101">
        <f t="shared" si="27"/>
        <v>35724</v>
      </c>
      <c r="V206" s="101">
        <f t="shared" si="27"/>
        <v>6710</v>
      </c>
      <c r="W206" s="101">
        <f t="shared" si="27"/>
        <v>4800</v>
      </c>
      <c r="X206" s="101">
        <f t="shared" si="27"/>
        <v>13240</v>
      </c>
    </row>
    <row r="207" spans="1:26" s="3" customFormat="1" ht="33.75" hidden="1">
      <c r="A207" s="204">
        <v>1</v>
      </c>
      <c r="B207" s="121" t="s">
        <v>34</v>
      </c>
      <c r="C207" s="121"/>
      <c r="D207" s="230" t="s">
        <v>401</v>
      </c>
      <c r="E207" s="51">
        <f t="shared" si="24"/>
        <v>53640.203999999998</v>
      </c>
      <c r="F207" s="51">
        <f t="shared" si="25"/>
        <v>40000</v>
      </c>
      <c r="G207" s="231">
        <v>40000</v>
      </c>
      <c r="H207" s="101"/>
      <c r="I207" s="101"/>
      <c r="J207" s="101"/>
      <c r="K207" s="101"/>
      <c r="L207" s="51">
        <f t="shared" si="26"/>
        <v>13640.204</v>
      </c>
      <c r="M207" s="232">
        <v>246</v>
      </c>
      <c r="N207" s="233">
        <f>2616.336+1817.868</f>
        <v>4434.2039999999997</v>
      </c>
      <c r="O207" s="105">
        <v>1000</v>
      </c>
      <c r="P207" s="105"/>
      <c r="Q207" s="105"/>
      <c r="R207" s="105"/>
      <c r="S207" s="105">
        <v>1560</v>
      </c>
      <c r="T207" s="105"/>
      <c r="U207" s="105">
        <v>1500</v>
      </c>
      <c r="V207" s="105">
        <v>2700</v>
      </c>
      <c r="W207" s="105">
        <v>1200</v>
      </c>
      <c r="X207" s="105">
        <v>1000</v>
      </c>
    </row>
    <row r="208" spans="1:26" ht="22.5" hidden="1">
      <c r="A208" s="234">
        <v>2</v>
      </c>
      <c r="B208" s="121" t="s">
        <v>34</v>
      </c>
      <c r="C208" s="121"/>
      <c r="D208" s="235" t="s">
        <v>402</v>
      </c>
      <c r="E208" s="51">
        <f t="shared" si="24"/>
        <v>60660</v>
      </c>
      <c r="F208" s="51">
        <f t="shared" si="25"/>
        <v>35000</v>
      </c>
      <c r="G208" s="147">
        <v>35000</v>
      </c>
      <c r="H208" s="135"/>
      <c r="I208" s="135"/>
      <c r="J208" s="135"/>
      <c r="K208" s="135"/>
      <c r="L208" s="51">
        <f t="shared" si="26"/>
        <v>25660</v>
      </c>
      <c r="M208" s="118">
        <v>3300</v>
      </c>
      <c r="N208" s="236"/>
      <c r="O208" s="189">
        <v>1180</v>
      </c>
      <c r="P208" s="115">
        <v>4600</v>
      </c>
      <c r="Q208" s="171"/>
      <c r="R208" s="137">
        <v>1480</v>
      </c>
      <c r="S208" s="115">
        <v>4180</v>
      </c>
      <c r="T208" s="137"/>
      <c r="U208" s="136">
        <v>2760</v>
      </c>
      <c r="V208" s="135">
        <v>3350</v>
      </c>
      <c r="W208" s="137">
        <v>2160</v>
      </c>
      <c r="X208" s="137">
        <v>2650</v>
      </c>
    </row>
    <row r="209" spans="1:24" ht="33.75" hidden="1">
      <c r="A209" s="234">
        <v>3</v>
      </c>
      <c r="B209" s="121" t="s">
        <v>34</v>
      </c>
      <c r="C209" s="121"/>
      <c r="D209" s="106" t="s">
        <v>610</v>
      </c>
      <c r="E209" s="51">
        <f t="shared" si="24"/>
        <v>110644</v>
      </c>
      <c r="F209" s="51">
        <f t="shared" si="25"/>
        <v>55000</v>
      </c>
      <c r="G209" s="147">
        <v>55000</v>
      </c>
      <c r="H209" s="135"/>
      <c r="I209" s="135"/>
      <c r="J209" s="135"/>
      <c r="K209" s="135"/>
      <c r="L209" s="51">
        <f t="shared" si="26"/>
        <v>55644</v>
      </c>
      <c r="M209" s="118"/>
      <c r="N209" s="236"/>
      <c r="O209" s="189">
        <v>1600</v>
      </c>
      <c r="P209" s="115">
        <v>9080</v>
      </c>
      <c r="Q209" s="171"/>
      <c r="R209" s="137">
        <v>1280</v>
      </c>
      <c r="S209" s="115">
        <v>7480</v>
      </c>
      <c r="T209" s="137">
        <v>3640</v>
      </c>
      <c r="U209" s="135">
        <v>24744</v>
      </c>
      <c r="V209" s="135">
        <v>480</v>
      </c>
      <c r="W209" s="137"/>
      <c r="X209" s="137">
        <f>4460+2880</f>
        <v>7340</v>
      </c>
    </row>
    <row r="210" spans="1:24" ht="56.25" hidden="1">
      <c r="A210" s="234">
        <v>4</v>
      </c>
      <c r="B210" s="121" t="s">
        <v>34</v>
      </c>
      <c r="C210" s="121"/>
      <c r="D210" s="174" t="s">
        <v>91</v>
      </c>
      <c r="E210" s="51">
        <f t="shared" si="24"/>
        <v>76657.763000000006</v>
      </c>
      <c r="F210" s="51">
        <f t="shared" si="25"/>
        <v>0</v>
      </c>
      <c r="G210" s="147"/>
      <c r="H210" s="135"/>
      <c r="I210" s="135"/>
      <c r="J210" s="135"/>
      <c r="K210" s="135"/>
      <c r="L210" s="51">
        <f t="shared" si="26"/>
        <v>76657.763000000006</v>
      </c>
      <c r="M210" s="118">
        <v>38400</v>
      </c>
      <c r="N210" s="236">
        <v>21412.762999999999</v>
      </c>
      <c r="O210" s="189"/>
      <c r="P210" s="115"/>
      <c r="Q210" s="171"/>
      <c r="R210" s="137"/>
      <c r="S210" s="115">
        <v>6255</v>
      </c>
      <c r="T210" s="137"/>
      <c r="U210" s="135">
        <v>6720</v>
      </c>
      <c r="V210" s="135">
        <v>180</v>
      </c>
      <c r="W210" s="137">
        <v>1440</v>
      </c>
      <c r="X210" s="137">
        <v>2250</v>
      </c>
    </row>
    <row r="211" spans="1:24" ht="45" hidden="1">
      <c r="A211" s="234">
        <v>5</v>
      </c>
      <c r="B211" s="121" t="s">
        <v>34</v>
      </c>
      <c r="C211" s="121"/>
      <c r="D211" s="153" t="s">
        <v>404</v>
      </c>
      <c r="E211" s="51">
        <f t="shared" si="24"/>
        <v>44340</v>
      </c>
      <c r="F211" s="51">
        <f t="shared" si="25"/>
        <v>0</v>
      </c>
      <c r="G211" s="105"/>
      <c r="H211" s="105"/>
      <c r="I211" s="105"/>
      <c r="J211" s="105"/>
      <c r="K211" s="105"/>
      <c r="L211" s="51">
        <f t="shared" si="26"/>
        <v>44340</v>
      </c>
      <c r="M211" s="118">
        <v>38400</v>
      </c>
      <c r="N211" s="105"/>
      <c r="O211" s="105"/>
      <c r="P211" s="105"/>
      <c r="Q211" s="105"/>
      <c r="R211" s="105">
        <v>5940</v>
      </c>
      <c r="S211" s="105"/>
      <c r="T211" s="105"/>
      <c r="U211" s="105"/>
      <c r="V211" s="105"/>
      <c r="W211" s="237"/>
      <c r="X211" s="237"/>
    </row>
    <row r="212" spans="1:24" hidden="1">
      <c r="A212" s="234">
        <v>6</v>
      </c>
      <c r="B212" s="121" t="s">
        <v>34</v>
      </c>
      <c r="C212" s="121"/>
      <c r="D212" s="238" t="s">
        <v>405</v>
      </c>
      <c r="E212" s="51">
        <f t="shared" si="24"/>
        <v>43400</v>
      </c>
      <c r="F212" s="51">
        <f t="shared" si="25"/>
        <v>0</v>
      </c>
      <c r="G212" s="105"/>
      <c r="H212" s="105"/>
      <c r="I212" s="105"/>
      <c r="J212" s="105"/>
      <c r="K212" s="105"/>
      <c r="L212" s="51">
        <f t="shared" si="26"/>
        <v>43400</v>
      </c>
      <c r="M212" s="118">
        <v>38400</v>
      </c>
      <c r="N212" s="105"/>
      <c r="O212" s="105"/>
      <c r="P212" s="105"/>
      <c r="Q212" s="105"/>
      <c r="R212" s="105"/>
      <c r="S212" s="105">
        <v>5000</v>
      </c>
      <c r="T212" s="105"/>
      <c r="U212" s="105"/>
      <c r="V212" s="105"/>
      <c r="W212" s="237"/>
      <c r="X212" s="237"/>
    </row>
    <row r="213" spans="1:24" ht="56.25" hidden="1">
      <c r="A213" s="204">
        <v>7</v>
      </c>
      <c r="B213" s="121" t="s">
        <v>34</v>
      </c>
      <c r="C213" s="121"/>
      <c r="D213" s="174" t="s">
        <v>91</v>
      </c>
      <c r="E213" s="51">
        <f t="shared" si="24"/>
        <v>0</v>
      </c>
      <c r="F213" s="51">
        <f t="shared" si="25"/>
        <v>0</v>
      </c>
      <c r="G213" s="239"/>
      <c r="H213" s="135"/>
      <c r="I213" s="135"/>
      <c r="J213" s="135"/>
      <c r="K213" s="135"/>
      <c r="L213" s="51">
        <f t="shared" si="26"/>
        <v>0</v>
      </c>
      <c r="M213" s="136"/>
      <c r="N213" s="135"/>
      <c r="O213" s="179"/>
      <c r="P213" s="147"/>
      <c r="Q213" s="170"/>
      <c r="R213" s="145"/>
      <c r="S213" s="147"/>
      <c r="T213" s="145"/>
      <c r="U213" s="135"/>
      <c r="V213" s="135"/>
      <c r="W213" s="145"/>
      <c r="X213" s="137"/>
    </row>
    <row r="214" spans="1:24" s="487" customFormat="1" hidden="1">
      <c r="A214" s="185">
        <v>4</v>
      </c>
      <c r="B214" s="94" t="s">
        <v>34</v>
      </c>
      <c r="C214" s="94"/>
      <c r="D214" s="486" t="s">
        <v>240</v>
      </c>
      <c r="E214" s="51">
        <f t="shared" si="24"/>
        <v>780354</v>
      </c>
      <c r="F214" s="51">
        <f t="shared" si="25"/>
        <v>240000</v>
      </c>
      <c r="G214" s="96">
        <f t="shared" ref="G214:X214" si="28">SUM(G215:G233)</f>
        <v>240000</v>
      </c>
      <c r="H214" s="96">
        <f t="shared" si="28"/>
        <v>0</v>
      </c>
      <c r="I214" s="96">
        <f t="shared" si="28"/>
        <v>0</v>
      </c>
      <c r="J214" s="96">
        <f t="shared" si="28"/>
        <v>0</v>
      </c>
      <c r="K214" s="96">
        <f t="shared" si="28"/>
        <v>0</v>
      </c>
      <c r="L214" s="51">
        <f t="shared" si="26"/>
        <v>540354</v>
      </c>
      <c r="M214" s="96">
        <f t="shared" si="28"/>
        <v>21846</v>
      </c>
      <c r="N214" s="96">
        <f t="shared" si="28"/>
        <v>68400</v>
      </c>
      <c r="O214" s="96">
        <f t="shared" si="28"/>
        <v>18380</v>
      </c>
      <c r="P214" s="96">
        <f t="shared" si="28"/>
        <v>31001</v>
      </c>
      <c r="Q214" s="96">
        <f t="shared" si="28"/>
        <v>34842</v>
      </c>
      <c r="R214" s="96">
        <f t="shared" si="28"/>
        <v>43380</v>
      </c>
      <c r="S214" s="96">
        <f t="shared" si="28"/>
        <v>95879</v>
      </c>
      <c r="T214" s="96">
        <f t="shared" si="28"/>
        <v>33070</v>
      </c>
      <c r="U214" s="96">
        <f t="shared" si="28"/>
        <v>38698</v>
      </c>
      <c r="V214" s="96">
        <f t="shared" si="28"/>
        <v>89458</v>
      </c>
      <c r="W214" s="96">
        <f t="shared" si="28"/>
        <v>30220</v>
      </c>
      <c r="X214" s="96">
        <f t="shared" si="28"/>
        <v>35180</v>
      </c>
    </row>
    <row r="215" spans="1:24" s="1" customFormat="1" ht="22.5" hidden="1">
      <c r="A215" s="122">
        <v>1</v>
      </c>
      <c r="B215" s="103" t="s">
        <v>34</v>
      </c>
      <c r="C215" s="103"/>
      <c r="D215" s="580" t="s">
        <v>325</v>
      </c>
      <c r="E215" s="207">
        <f t="shared" si="24"/>
        <v>66678</v>
      </c>
      <c r="F215" s="207">
        <f t="shared" si="25"/>
        <v>15000</v>
      </c>
      <c r="G215" s="241">
        <v>15000</v>
      </c>
      <c r="H215" s="135"/>
      <c r="I215" s="135"/>
      <c r="J215" s="135"/>
      <c r="K215" s="135"/>
      <c r="L215" s="207">
        <f t="shared" si="26"/>
        <v>51678</v>
      </c>
      <c r="M215" s="242"/>
      <c r="N215" s="243">
        <v>5000</v>
      </c>
      <c r="O215" s="244">
        <v>800</v>
      </c>
      <c r="P215" s="245"/>
      <c r="Q215" s="246">
        <v>1920</v>
      </c>
      <c r="R215" s="245">
        <v>4800</v>
      </c>
      <c r="S215" s="245">
        <v>3040</v>
      </c>
      <c r="T215" s="247">
        <v>3000</v>
      </c>
      <c r="U215" s="247">
        <v>19278</v>
      </c>
      <c r="V215" s="245">
        <v>400</v>
      </c>
      <c r="W215" s="245"/>
      <c r="X215" s="245">
        <v>13440</v>
      </c>
    </row>
    <row r="216" spans="1:24" s="1" customFormat="1" ht="45" hidden="1">
      <c r="A216" s="122">
        <v>2</v>
      </c>
      <c r="B216" s="103" t="s">
        <v>34</v>
      </c>
      <c r="C216" s="103"/>
      <c r="D216" s="248" t="s">
        <v>326</v>
      </c>
      <c r="E216" s="207">
        <f t="shared" si="24"/>
        <v>48000</v>
      </c>
      <c r="F216" s="207">
        <f t="shared" si="25"/>
        <v>40000</v>
      </c>
      <c r="G216" s="241">
        <v>40000</v>
      </c>
      <c r="H216" s="135"/>
      <c r="I216" s="135"/>
      <c r="J216" s="135"/>
      <c r="K216" s="135"/>
      <c r="L216" s="207">
        <f t="shared" si="26"/>
        <v>8000</v>
      </c>
      <c r="M216" s="242"/>
      <c r="N216" s="243">
        <v>8000</v>
      </c>
      <c r="O216" s="244"/>
      <c r="P216" s="249"/>
      <c r="Q216" s="246">
        <v>0</v>
      </c>
      <c r="R216" s="245"/>
      <c r="S216" s="245"/>
      <c r="T216" s="247"/>
      <c r="U216" s="245"/>
      <c r="V216" s="245"/>
      <c r="W216" s="249"/>
      <c r="X216" s="245">
        <v>0</v>
      </c>
    </row>
    <row r="217" spans="1:24" s="1" customFormat="1" ht="67.5" hidden="1">
      <c r="A217" s="122">
        <v>3</v>
      </c>
      <c r="B217" s="103" t="s">
        <v>34</v>
      </c>
      <c r="C217" s="103"/>
      <c r="D217" s="240" t="s">
        <v>327</v>
      </c>
      <c r="E217" s="207">
        <f t="shared" si="24"/>
        <v>30000</v>
      </c>
      <c r="F217" s="207">
        <f t="shared" si="25"/>
        <v>20000</v>
      </c>
      <c r="G217" s="241">
        <v>20000</v>
      </c>
      <c r="H217" s="105"/>
      <c r="I217" s="105"/>
      <c r="J217" s="105"/>
      <c r="K217" s="105"/>
      <c r="L217" s="207">
        <f t="shared" si="26"/>
        <v>10000</v>
      </c>
      <c r="M217" s="242"/>
      <c r="N217" s="243">
        <v>10000</v>
      </c>
      <c r="O217" s="244"/>
      <c r="P217" s="249"/>
      <c r="Q217" s="246">
        <v>0</v>
      </c>
      <c r="R217" s="245"/>
      <c r="S217" s="245"/>
      <c r="T217" s="247"/>
      <c r="U217" s="245"/>
      <c r="V217" s="245"/>
      <c r="W217" s="249"/>
      <c r="X217" s="245">
        <v>0</v>
      </c>
    </row>
    <row r="218" spans="1:24" s="1" customFormat="1" ht="45" hidden="1">
      <c r="A218" s="122">
        <v>4</v>
      </c>
      <c r="B218" s="103" t="s">
        <v>34</v>
      </c>
      <c r="C218" s="103"/>
      <c r="D218" s="248" t="s">
        <v>328</v>
      </c>
      <c r="E218" s="207">
        <f t="shared" si="24"/>
        <v>151670</v>
      </c>
      <c r="F218" s="207">
        <f t="shared" si="25"/>
        <v>20000</v>
      </c>
      <c r="G218" s="241">
        <v>20000</v>
      </c>
      <c r="H218" s="135"/>
      <c r="I218" s="135"/>
      <c r="J218" s="135"/>
      <c r="K218" s="135"/>
      <c r="L218" s="207">
        <f t="shared" si="26"/>
        <v>131670</v>
      </c>
      <c r="M218" s="242">
        <v>10880</v>
      </c>
      <c r="N218" s="243">
        <v>5000</v>
      </c>
      <c r="O218" s="244">
        <v>9560</v>
      </c>
      <c r="P218" s="249">
        <v>12800</v>
      </c>
      <c r="Q218" s="246">
        <v>12000</v>
      </c>
      <c r="R218" s="250">
        <v>28390</v>
      </c>
      <c r="S218" s="245">
        <v>3600</v>
      </c>
      <c r="T218" s="247">
        <v>18120</v>
      </c>
      <c r="U218" s="245"/>
      <c r="V218" s="245">
        <v>10560</v>
      </c>
      <c r="W218" s="247">
        <f>9120+5040+1440+1520</f>
        <v>17120</v>
      </c>
      <c r="X218" s="245">
        <v>3640</v>
      </c>
    </row>
    <row r="219" spans="1:24" s="1" customFormat="1" hidden="1">
      <c r="A219" s="122">
        <v>5</v>
      </c>
      <c r="B219" s="103" t="s">
        <v>34</v>
      </c>
      <c r="C219" s="103"/>
      <c r="D219" s="248" t="s">
        <v>92</v>
      </c>
      <c r="E219" s="207">
        <f t="shared" si="24"/>
        <v>84988</v>
      </c>
      <c r="F219" s="207">
        <f t="shared" si="25"/>
        <v>0</v>
      </c>
      <c r="G219" s="241"/>
      <c r="H219" s="135"/>
      <c r="I219" s="135"/>
      <c r="J219" s="135"/>
      <c r="K219" s="135"/>
      <c r="L219" s="207">
        <f t="shared" si="26"/>
        <v>84988</v>
      </c>
      <c r="M219" s="251">
        <v>9800</v>
      </c>
      <c r="N219" s="243">
        <v>8000</v>
      </c>
      <c r="O219" s="244">
        <v>4680</v>
      </c>
      <c r="P219" s="249">
        <v>6390</v>
      </c>
      <c r="Q219" s="246">
        <v>2820</v>
      </c>
      <c r="R219" s="249">
        <v>9010</v>
      </c>
      <c r="S219" s="249">
        <v>4060</v>
      </c>
      <c r="T219" s="247">
        <v>9700</v>
      </c>
      <c r="U219" s="249">
        <v>2760</v>
      </c>
      <c r="V219" s="249">
        <v>13528</v>
      </c>
      <c r="W219" s="249">
        <f>3700+2500</f>
        <v>6200</v>
      </c>
      <c r="X219" s="249">
        <v>8040</v>
      </c>
    </row>
    <row r="220" spans="1:24" s="1" customFormat="1" ht="22.5" hidden="1">
      <c r="A220" s="122">
        <v>6</v>
      </c>
      <c r="B220" s="103" t="s">
        <v>34</v>
      </c>
      <c r="C220" s="103"/>
      <c r="D220" s="580" t="s">
        <v>329</v>
      </c>
      <c r="E220" s="207">
        <f t="shared" si="24"/>
        <v>68460</v>
      </c>
      <c r="F220" s="207">
        <f t="shared" si="25"/>
        <v>40000</v>
      </c>
      <c r="G220" s="241">
        <v>40000</v>
      </c>
      <c r="H220" s="135"/>
      <c r="I220" s="135"/>
      <c r="J220" s="135"/>
      <c r="K220" s="135"/>
      <c r="L220" s="207">
        <f t="shared" si="26"/>
        <v>28460</v>
      </c>
      <c r="M220" s="251"/>
      <c r="N220" s="243">
        <v>0</v>
      </c>
      <c r="O220" s="244"/>
      <c r="P220" s="249"/>
      <c r="Q220" s="246">
        <v>0</v>
      </c>
      <c r="R220" s="249"/>
      <c r="S220" s="249">
        <v>6000</v>
      </c>
      <c r="T220" s="247">
        <v>1600</v>
      </c>
      <c r="U220" s="249">
        <v>4000</v>
      </c>
      <c r="V220" s="249">
        <f>5100+7800</f>
        <v>12900</v>
      </c>
      <c r="W220" s="249"/>
      <c r="X220" s="249">
        <v>3960</v>
      </c>
    </row>
    <row r="221" spans="1:24" s="1" customFormat="1" hidden="1">
      <c r="A221" s="122">
        <v>7</v>
      </c>
      <c r="B221" s="103" t="s">
        <v>34</v>
      </c>
      <c r="C221" s="103"/>
      <c r="D221" s="104" t="s">
        <v>291</v>
      </c>
      <c r="E221" s="207">
        <f t="shared" si="24"/>
        <v>0</v>
      </c>
      <c r="F221" s="207">
        <f t="shared" si="25"/>
        <v>0</v>
      </c>
      <c r="G221" s="241">
        <v>0</v>
      </c>
      <c r="H221" s="135"/>
      <c r="I221" s="135"/>
      <c r="J221" s="135"/>
      <c r="K221" s="135"/>
      <c r="L221" s="207">
        <f t="shared" si="26"/>
        <v>0</v>
      </c>
      <c r="M221" s="252"/>
      <c r="N221" s="243"/>
      <c r="O221" s="244"/>
      <c r="P221" s="247"/>
      <c r="Q221" s="246"/>
      <c r="R221" s="250"/>
      <c r="S221" s="250"/>
      <c r="T221" s="250"/>
      <c r="U221" s="243"/>
      <c r="V221" s="250"/>
      <c r="W221" s="250"/>
      <c r="X221" s="250"/>
    </row>
    <row r="222" spans="1:24" s="1" customFormat="1" hidden="1">
      <c r="A222" s="122">
        <v>8</v>
      </c>
      <c r="B222" s="103" t="s">
        <v>34</v>
      </c>
      <c r="C222" s="103"/>
      <c r="D222" s="104" t="s">
        <v>290</v>
      </c>
      <c r="E222" s="207">
        <f t="shared" si="24"/>
        <v>45000</v>
      </c>
      <c r="F222" s="207">
        <f t="shared" si="25"/>
        <v>45000</v>
      </c>
      <c r="G222" s="241">
        <v>45000</v>
      </c>
      <c r="H222" s="135"/>
      <c r="I222" s="135"/>
      <c r="J222" s="135"/>
      <c r="K222" s="135"/>
      <c r="L222" s="207">
        <f t="shared" si="26"/>
        <v>0</v>
      </c>
      <c r="M222" s="252"/>
      <c r="N222" s="243"/>
      <c r="O222" s="244"/>
      <c r="P222" s="250"/>
      <c r="Q222" s="246"/>
      <c r="R222" s="250"/>
      <c r="S222" s="250"/>
      <c r="T222" s="250"/>
      <c r="U222" s="243"/>
      <c r="V222" s="250"/>
      <c r="W222" s="250"/>
      <c r="X222" s="250"/>
    </row>
    <row r="223" spans="1:24" s="1" customFormat="1" hidden="1">
      <c r="A223" s="122">
        <v>9</v>
      </c>
      <c r="B223" s="103" t="s">
        <v>34</v>
      </c>
      <c r="C223" s="103"/>
      <c r="D223" s="104" t="s">
        <v>292</v>
      </c>
      <c r="E223" s="207">
        <f t="shared" si="24"/>
        <v>60000</v>
      </c>
      <c r="F223" s="207">
        <f t="shared" si="25"/>
        <v>60000</v>
      </c>
      <c r="G223" s="241">
        <v>60000</v>
      </c>
      <c r="H223" s="135"/>
      <c r="I223" s="135"/>
      <c r="J223" s="135"/>
      <c r="K223" s="135"/>
      <c r="L223" s="207">
        <f t="shared" si="26"/>
        <v>0</v>
      </c>
      <c r="M223" s="252"/>
      <c r="N223" s="243"/>
      <c r="O223" s="244"/>
      <c r="P223" s="250"/>
      <c r="Q223" s="253"/>
      <c r="R223" s="250"/>
      <c r="S223" s="250"/>
      <c r="T223" s="250"/>
      <c r="U223" s="243"/>
      <c r="V223" s="250"/>
      <c r="W223" s="250"/>
      <c r="X223" s="250"/>
    </row>
    <row r="224" spans="1:24" s="1" customFormat="1" ht="45" hidden="1">
      <c r="A224" s="122">
        <v>10</v>
      </c>
      <c r="B224" s="103" t="s">
        <v>34</v>
      </c>
      <c r="C224" s="103"/>
      <c r="D224" s="401" t="s">
        <v>346</v>
      </c>
      <c r="E224" s="207">
        <f t="shared" si="24"/>
        <v>19210</v>
      </c>
      <c r="F224" s="207">
        <f t="shared" si="25"/>
        <v>0</v>
      </c>
      <c r="G224" s="241"/>
      <c r="H224" s="135"/>
      <c r="I224" s="135"/>
      <c r="J224" s="135"/>
      <c r="K224" s="135"/>
      <c r="L224" s="207">
        <f t="shared" si="26"/>
        <v>19210</v>
      </c>
      <c r="M224" s="251"/>
      <c r="N224" s="243">
        <v>0</v>
      </c>
      <c r="O224" s="244"/>
      <c r="P224" s="249"/>
      <c r="Q224" s="246">
        <v>0</v>
      </c>
      <c r="R224" s="249"/>
      <c r="S224" s="249">
        <v>1050</v>
      </c>
      <c r="T224" s="247"/>
      <c r="U224" s="247">
        <v>11160</v>
      </c>
      <c r="V224" s="249">
        <v>7000</v>
      </c>
      <c r="W224" s="249"/>
      <c r="X224" s="249">
        <v>0</v>
      </c>
    </row>
    <row r="225" spans="1:52" s="1" customFormat="1" hidden="1">
      <c r="A225" s="122">
        <v>11</v>
      </c>
      <c r="B225" s="103" t="s">
        <v>34</v>
      </c>
      <c r="C225" s="103"/>
      <c r="D225" s="401" t="s">
        <v>347</v>
      </c>
      <c r="E225" s="207">
        <f t="shared" si="24"/>
        <v>5100</v>
      </c>
      <c r="F225" s="207">
        <f t="shared" si="25"/>
        <v>0</v>
      </c>
      <c r="G225" s="241"/>
      <c r="H225" s="135"/>
      <c r="I225" s="135"/>
      <c r="J225" s="135"/>
      <c r="K225" s="135"/>
      <c r="L225" s="207">
        <f t="shared" si="26"/>
        <v>5100</v>
      </c>
      <c r="M225" s="242"/>
      <c r="N225" s="243">
        <v>0</v>
      </c>
      <c r="O225" s="244"/>
      <c r="P225" s="249"/>
      <c r="Q225" s="246">
        <v>0</v>
      </c>
      <c r="R225" s="245"/>
      <c r="S225" s="245"/>
      <c r="T225" s="247"/>
      <c r="U225" s="245"/>
      <c r="V225" s="245">
        <v>5100</v>
      </c>
      <c r="W225" s="245"/>
      <c r="X225" s="245">
        <v>0</v>
      </c>
    </row>
    <row r="226" spans="1:52" s="1" customFormat="1" ht="22.5" hidden="1">
      <c r="A226" s="122">
        <v>12</v>
      </c>
      <c r="B226" s="103" t="s">
        <v>34</v>
      </c>
      <c r="C226" s="103"/>
      <c r="D226" s="575" t="s">
        <v>348</v>
      </c>
      <c r="E226" s="207">
        <f t="shared" si="24"/>
        <v>85190</v>
      </c>
      <c r="F226" s="207">
        <f t="shared" si="25"/>
        <v>0</v>
      </c>
      <c r="G226" s="241"/>
      <c r="H226" s="135"/>
      <c r="I226" s="135"/>
      <c r="J226" s="135"/>
      <c r="K226" s="135"/>
      <c r="L226" s="207">
        <f t="shared" si="26"/>
        <v>85190</v>
      </c>
      <c r="M226" s="252"/>
      <c r="N226" s="243">
        <v>10000</v>
      </c>
      <c r="O226" s="244"/>
      <c r="P226" s="247">
        <v>651</v>
      </c>
      <c r="Q226" s="246">
        <v>0</v>
      </c>
      <c r="R226" s="250"/>
      <c r="S226" s="250">
        <v>65489</v>
      </c>
      <c r="T226" s="247">
        <v>650</v>
      </c>
      <c r="U226" s="247">
        <v>1500</v>
      </c>
      <c r="V226" s="250"/>
      <c r="W226" s="250">
        <f>5380+1520</f>
        <v>6900</v>
      </c>
      <c r="X226" s="250">
        <v>0</v>
      </c>
    </row>
    <row r="227" spans="1:52" s="1" customFormat="1" ht="22.5" hidden="1">
      <c r="A227" s="122">
        <v>13</v>
      </c>
      <c r="B227" s="103" t="s">
        <v>34</v>
      </c>
      <c r="C227" s="103"/>
      <c r="D227" s="489" t="s">
        <v>93</v>
      </c>
      <c r="E227" s="207">
        <f t="shared" si="24"/>
        <v>40566</v>
      </c>
      <c r="F227" s="207">
        <f t="shared" si="25"/>
        <v>0</v>
      </c>
      <c r="G227" s="241"/>
      <c r="H227" s="135"/>
      <c r="I227" s="135"/>
      <c r="J227" s="135"/>
      <c r="K227" s="135"/>
      <c r="L227" s="207">
        <f t="shared" si="26"/>
        <v>40566</v>
      </c>
      <c r="M227" s="252">
        <v>1166</v>
      </c>
      <c r="N227" s="243">
        <v>7200</v>
      </c>
      <c r="O227" s="244"/>
      <c r="P227" s="247">
        <v>11160</v>
      </c>
      <c r="Q227" s="246">
        <v>0</v>
      </c>
      <c r="R227" s="250"/>
      <c r="S227" s="250">
        <v>3040</v>
      </c>
      <c r="T227" s="250"/>
      <c r="U227" s="243"/>
      <c r="V227" s="250">
        <v>18000</v>
      </c>
      <c r="W227" s="250"/>
      <c r="X227" s="250">
        <v>0</v>
      </c>
    </row>
    <row r="228" spans="1:52" s="1" customFormat="1" ht="22.5" hidden="1">
      <c r="A228" s="122">
        <v>14</v>
      </c>
      <c r="B228" s="103" t="s">
        <v>34</v>
      </c>
      <c r="C228" s="103"/>
      <c r="D228" s="489" t="s">
        <v>94</v>
      </c>
      <c r="E228" s="207">
        <f t="shared" si="24"/>
        <v>22000</v>
      </c>
      <c r="F228" s="207">
        <f t="shared" si="25"/>
        <v>0</v>
      </c>
      <c r="G228" s="241"/>
      <c r="H228" s="135"/>
      <c r="I228" s="135"/>
      <c r="J228" s="135"/>
      <c r="K228" s="135"/>
      <c r="L228" s="207">
        <f t="shared" si="26"/>
        <v>22000</v>
      </c>
      <c r="M228" s="252"/>
      <c r="N228" s="243">
        <v>10200</v>
      </c>
      <c r="O228" s="244"/>
      <c r="P228" s="247"/>
      <c r="Q228" s="246">
        <v>0</v>
      </c>
      <c r="R228" s="250"/>
      <c r="S228" s="250">
        <v>7600</v>
      </c>
      <c r="T228" s="250"/>
      <c r="U228" s="243"/>
      <c r="V228" s="250">
        <v>4200</v>
      </c>
      <c r="W228" s="250"/>
      <c r="X228" s="250">
        <v>0</v>
      </c>
    </row>
    <row r="229" spans="1:52" s="1" customFormat="1" ht="22.5" hidden="1">
      <c r="A229" s="122">
        <v>15</v>
      </c>
      <c r="B229" s="103" t="s">
        <v>34</v>
      </c>
      <c r="C229" s="103"/>
      <c r="D229" s="489" t="s">
        <v>349</v>
      </c>
      <c r="E229" s="207">
        <f t="shared" si="24"/>
        <v>12450</v>
      </c>
      <c r="F229" s="207">
        <f t="shared" si="25"/>
        <v>0</v>
      </c>
      <c r="G229" s="241"/>
      <c r="H229" s="135"/>
      <c r="I229" s="135"/>
      <c r="J229" s="135"/>
      <c r="K229" s="135"/>
      <c r="L229" s="207">
        <f t="shared" si="26"/>
        <v>12450</v>
      </c>
      <c r="M229" s="252"/>
      <c r="N229" s="243">
        <v>5000</v>
      </c>
      <c r="O229" s="244"/>
      <c r="P229" s="247"/>
      <c r="Q229" s="246">
        <v>0</v>
      </c>
      <c r="R229" s="250"/>
      <c r="S229" s="250"/>
      <c r="T229" s="250"/>
      <c r="U229" s="243"/>
      <c r="V229" s="250">
        <v>7450</v>
      </c>
      <c r="W229" s="250"/>
      <c r="X229" s="250">
        <v>0</v>
      </c>
    </row>
    <row r="230" spans="1:52" s="1" customFormat="1" ht="22.5" hidden="1">
      <c r="A230" s="122">
        <v>16</v>
      </c>
      <c r="B230" s="103" t="s">
        <v>34</v>
      </c>
      <c r="C230" s="103"/>
      <c r="D230" s="581" t="s">
        <v>350</v>
      </c>
      <c r="E230" s="207">
        <f t="shared" si="24"/>
        <v>22940</v>
      </c>
      <c r="F230" s="207">
        <f t="shared" si="25"/>
        <v>0</v>
      </c>
      <c r="G230" s="241"/>
      <c r="H230" s="135"/>
      <c r="I230" s="135"/>
      <c r="J230" s="135"/>
      <c r="K230" s="135"/>
      <c r="L230" s="207">
        <f t="shared" si="26"/>
        <v>22940</v>
      </c>
      <c r="M230" s="252"/>
      <c r="N230" s="243">
        <v>0</v>
      </c>
      <c r="O230" s="244">
        <v>3340</v>
      </c>
      <c r="P230" s="250"/>
      <c r="Q230" s="246">
        <v>0</v>
      </c>
      <c r="R230" s="250">
        <v>1180</v>
      </c>
      <c r="S230" s="250">
        <v>2000</v>
      </c>
      <c r="T230" s="250"/>
      <c r="U230" s="243"/>
      <c r="V230" s="250">
        <f>4300+6020</f>
        <v>10320</v>
      </c>
      <c r="W230" s="250"/>
      <c r="X230" s="250">
        <v>6100</v>
      </c>
    </row>
    <row r="231" spans="1:52" s="1" customFormat="1" hidden="1">
      <c r="A231" s="122">
        <v>17</v>
      </c>
      <c r="B231" s="103" t="s">
        <v>34</v>
      </c>
      <c r="C231" s="103"/>
      <c r="D231" s="490" t="s">
        <v>213</v>
      </c>
      <c r="E231" s="207">
        <f t="shared" si="24"/>
        <v>11520</v>
      </c>
      <c r="F231" s="207">
        <f t="shared" si="25"/>
        <v>0</v>
      </c>
      <c r="G231" s="241"/>
      <c r="H231" s="135"/>
      <c r="I231" s="135"/>
      <c r="J231" s="135"/>
      <c r="K231" s="135"/>
      <c r="L231" s="207">
        <f t="shared" si="26"/>
        <v>11520</v>
      </c>
      <c r="M231" s="252"/>
      <c r="N231" s="243"/>
      <c r="O231" s="244"/>
      <c r="P231" s="250"/>
      <c r="Q231" s="253">
        <v>11520</v>
      </c>
      <c r="R231" s="250"/>
      <c r="S231" s="250"/>
      <c r="T231" s="250"/>
      <c r="U231" s="243"/>
      <c r="V231" s="250"/>
      <c r="W231" s="250"/>
      <c r="X231" s="250"/>
    </row>
    <row r="232" spans="1:52" s="1" customFormat="1" hidden="1">
      <c r="A232" s="122">
        <v>18</v>
      </c>
      <c r="B232" s="103" t="s">
        <v>34</v>
      </c>
      <c r="C232" s="103"/>
      <c r="D232" s="490" t="s">
        <v>351</v>
      </c>
      <c r="E232" s="207">
        <f t="shared" si="24"/>
        <v>4176</v>
      </c>
      <c r="F232" s="207">
        <f t="shared" si="25"/>
        <v>0</v>
      </c>
      <c r="G232" s="241"/>
      <c r="H232" s="135"/>
      <c r="I232" s="135"/>
      <c r="J232" s="135"/>
      <c r="K232" s="135"/>
      <c r="L232" s="207">
        <f t="shared" si="26"/>
        <v>4176</v>
      </c>
      <c r="M232" s="252"/>
      <c r="N232" s="243"/>
      <c r="O232" s="244"/>
      <c r="P232" s="250"/>
      <c r="Q232" s="253">
        <v>4176</v>
      </c>
      <c r="R232" s="250"/>
      <c r="S232" s="250"/>
      <c r="T232" s="250"/>
      <c r="U232" s="243"/>
      <c r="V232" s="250"/>
      <c r="W232" s="250"/>
      <c r="X232" s="250"/>
    </row>
    <row r="233" spans="1:52" s="1" customFormat="1" hidden="1">
      <c r="A233" s="122">
        <v>19</v>
      </c>
      <c r="B233" s="103" t="s">
        <v>34</v>
      </c>
      <c r="C233" s="103"/>
      <c r="D233" s="490" t="s">
        <v>352</v>
      </c>
      <c r="E233" s="207">
        <f t="shared" si="24"/>
        <v>2406</v>
      </c>
      <c r="F233" s="207">
        <f t="shared" si="25"/>
        <v>0</v>
      </c>
      <c r="G233" s="241"/>
      <c r="H233" s="135"/>
      <c r="I233" s="135"/>
      <c r="J233" s="135"/>
      <c r="K233" s="135"/>
      <c r="L233" s="207">
        <f t="shared" si="26"/>
        <v>2406</v>
      </c>
      <c r="M233" s="252"/>
      <c r="N233" s="243"/>
      <c r="O233" s="244"/>
      <c r="P233" s="250"/>
      <c r="Q233" s="253">
        <v>2406</v>
      </c>
      <c r="R233" s="250"/>
      <c r="S233" s="250"/>
      <c r="T233" s="250"/>
      <c r="U233" s="243"/>
      <c r="V233" s="250"/>
      <c r="W233" s="250"/>
      <c r="X233" s="250"/>
    </row>
    <row r="234" spans="1:52" s="35" customFormat="1" ht="10.5" hidden="1">
      <c r="A234" s="95">
        <v>5</v>
      </c>
      <c r="B234" s="94" t="s">
        <v>34</v>
      </c>
      <c r="C234" s="94"/>
      <c r="D234" s="129" t="s">
        <v>236</v>
      </c>
      <c r="E234" s="130">
        <f t="shared" si="24"/>
        <v>13906693</v>
      </c>
      <c r="F234" s="130">
        <f t="shared" si="25"/>
        <v>1380070</v>
      </c>
      <c r="G234" s="96">
        <f>SUM(G235:G264)</f>
        <v>1380070</v>
      </c>
      <c r="H234" s="96">
        <f t="shared" ref="H234:X234" si="29">SUM(H235:H264)</f>
        <v>0</v>
      </c>
      <c r="I234" s="96">
        <f t="shared" si="29"/>
        <v>0</v>
      </c>
      <c r="J234" s="96">
        <f t="shared" si="29"/>
        <v>0</v>
      </c>
      <c r="K234" s="96">
        <f t="shared" si="29"/>
        <v>0</v>
      </c>
      <c r="L234" s="130">
        <f t="shared" si="26"/>
        <v>12526623</v>
      </c>
      <c r="M234" s="96">
        <f t="shared" si="29"/>
        <v>2883203</v>
      </c>
      <c r="N234" s="96">
        <f t="shared" si="29"/>
        <v>765010</v>
      </c>
      <c r="O234" s="96">
        <f t="shared" si="29"/>
        <v>979411</v>
      </c>
      <c r="P234" s="96">
        <f t="shared" si="29"/>
        <v>1408906</v>
      </c>
      <c r="Q234" s="96">
        <f t="shared" si="29"/>
        <v>1531770</v>
      </c>
      <c r="R234" s="96">
        <f t="shared" si="29"/>
        <v>777261</v>
      </c>
      <c r="S234" s="96">
        <f t="shared" si="29"/>
        <v>1011700</v>
      </c>
      <c r="T234" s="96">
        <f t="shared" si="29"/>
        <v>386042</v>
      </c>
      <c r="U234" s="96">
        <f t="shared" si="29"/>
        <v>1077501</v>
      </c>
      <c r="V234" s="96">
        <f t="shared" si="29"/>
        <v>600340</v>
      </c>
      <c r="W234" s="96">
        <f t="shared" si="29"/>
        <v>568696</v>
      </c>
      <c r="X234" s="96">
        <f t="shared" si="29"/>
        <v>536783</v>
      </c>
    </row>
    <row r="235" spans="1:52" s="258" customFormat="1" ht="22.5" hidden="1">
      <c r="A235" s="234">
        <v>1</v>
      </c>
      <c r="B235" s="121" t="s">
        <v>34</v>
      </c>
      <c r="C235" s="121"/>
      <c r="D235" s="254" t="s">
        <v>233</v>
      </c>
      <c r="E235" s="51">
        <f t="shared" si="24"/>
        <v>720390</v>
      </c>
      <c r="F235" s="51">
        <f t="shared" si="25"/>
        <v>0</v>
      </c>
      <c r="G235" s="152">
        <v>0</v>
      </c>
      <c r="H235" s="135"/>
      <c r="I235" s="135"/>
      <c r="J235" s="135"/>
      <c r="K235" s="135"/>
      <c r="L235" s="51">
        <f t="shared" si="26"/>
        <v>720390</v>
      </c>
      <c r="M235" s="255">
        <v>119800</v>
      </c>
      <c r="N235" s="135">
        <v>30000</v>
      </c>
      <c r="O235" s="152">
        <v>70816</v>
      </c>
      <c r="P235" s="152">
        <v>86200</v>
      </c>
      <c r="Q235" s="163">
        <v>80044</v>
      </c>
      <c r="R235" s="152">
        <v>52796</v>
      </c>
      <c r="S235" s="152">
        <v>99600</v>
      </c>
      <c r="T235" s="152">
        <v>55834</v>
      </c>
      <c r="U235" s="152">
        <v>72320</v>
      </c>
      <c r="V235" s="152">
        <v>18100</v>
      </c>
      <c r="W235" s="152">
        <v>22280</v>
      </c>
      <c r="X235" s="256">
        <v>12600</v>
      </c>
      <c r="Y235" s="257"/>
      <c r="Z235" s="257"/>
      <c r="AA235" s="257"/>
      <c r="AB235" s="257"/>
      <c r="AC235" s="257"/>
      <c r="AD235" s="257"/>
      <c r="AE235" s="257"/>
      <c r="AF235" s="257"/>
      <c r="AG235" s="257"/>
      <c r="AH235" s="257"/>
      <c r="AI235" s="257"/>
      <c r="AJ235" s="257"/>
      <c r="AK235" s="257"/>
      <c r="AL235" s="257"/>
      <c r="AM235" s="257"/>
      <c r="AN235" s="257"/>
      <c r="AO235" s="257"/>
      <c r="AP235" s="257"/>
      <c r="AQ235" s="257"/>
      <c r="AR235" s="257"/>
      <c r="AS235" s="257"/>
      <c r="AT235" s="257"/>
      <c r="AU235" s="257"/>
      <c r="AV235" s="257"/>
      <c r="AW235" s="257"/>
      <c r="AX235" s="257"/>
      <c r="AY235" s="257"/>
      <c r="AZ235" s="257"/>
    </row>
    <row r="236" spans="1:52" s="258" customFormat="1" ht="22.5" hidden="1">
      <c r="A236" s="234">
        <v>2</v>
      </c>
      <c r="B236" s="121" t="s">
        <v>34</v>
      </c>
      <c r="C236" s="121"/>
      <c r="D236" s="254" t="s">
        <v>452</v>
      </c>
      <c r="E236" s="51">
        <f t="shared" si="24"/>
        <v>67800</v>
      </c>
      <c r="F236" s="51">
        <f t="shared" si="25"/>
        <v>0</v>
      </c>
      <c r="G236" s="152">
        <v>0</v>
      </c>
      <c r="H236" s="135"/>
      <c r="I236" s="135"/>
      <c r="J236" s="135"/>
      <c r="K236" s="135"/>
      <c r="L236" s="51">
        <f t="shared" si="26"/>
        <v>67800</v>
      </c>
      <c r="M236" s="255">
        <v>0</v>
      </c>
      <c r="N236" s="135">
        <v>7200</v>
      </c>
      <c r="O236" s="152"/>
      <c r="P236" s="152">
        <v>0</v>
      </c>
      <c r="Q236" s="152">
        <v>0</v>
      </c>
      <c r="R236" s="152"/>
      <c r="S236" s="152">
        <v>33600</v>
      </c>
      <c r="T236" s="152">
        <v>0</v>
      </c>
      <c r="U236" s="152">
        <v>9000</v>
      </c>
      <c r="V236" s="152">
        <v>18000</v>
      </c>
      <c r="W236" s="152"/>
      <c r="X236" s="256">
        <v>0</v>
      </c>
      <c r="Y236" s="257"/>
      <c r="Z236" s="257"/>
      <c r="AA236" s="257"/>
      <c r="AB236" s="257"/>
      <c r="AC236" s="257"/>
      <c r="AD236" s="257"/>
      <c r="AE236" s="257"/>
      <c r="AF236" s="257"/>
      <c r="AG236" s="257"/>
      <c r="AH236" s="257"/>
      <c r="AI236" s="257"/>
      <c r="AJ236" s="257"/>
      <c r="AK236" s="257"/>
      <c r="AL236" s="257"/>
      <c r="AM236" s="257"/>
      <c r="AN236" s="257"/>
      <c r="AO236" s="257"/>
      <c r="AP236" s="257"/>
      <c r="AQ236" s="257"/>
      <c r="AR236" s="257"/>
      <c r="AS236" s="257"/>
      <c r="AT236" s="257"/>
      <c r="AU236" s="257"/>
      <c r="AV236" s="257"/>
      <c r="AW236" s="257"/>
      <c r="AX236" s="257"/>
      <c r="AY236" s="257"/>
      <c r="AZ236" s="257"/>
    </row>
    <row r="237" spans="1:52" s="258" customFormat="1" hidden="1">
      <c r="A237" s="234">
        <v>3</v>
      </c>
      <c r="B237" s="121" t="s">
        <v>34</v>
      </c>
      <c r="C237" s="121"/>
      <c r="D237" s="259" t="s">
        <v>453</v>
      </c>
      <c r="E237" s="51">
        <f t="shared" si="24"/>
        <v>245442</v>
      </c>
      <c r="F237" s="51">
        <f t="shared" si="25"/>
        <v>40000</v>
      </c>
      <c r="G237" s="152">
        <v>40000</v>
      </c>
      <c r="H237" s="135"/>
      <c r="I237" s="135"/>
      <c r="J237" s="135"/>
      <c r="K237" s="135"/>
      <c r="L237" s="51">
        <f t="shared" si="26"/>
        <v>205442</v>
      </c>
      <c r="M237" s="255">
        <v>22500</v>
      </c>
      <c r="N237" s="135">
        <v>8000</v>
      </c>
      <c r="O237" s="152">
        <v>24700</v>
      </c>
      <c r="P237" s="152">
        <v>7800</v>
      </c>
      <c r="Q237" s="152">
        <v>8100</v>
      </c>
      <c r="R237" s="152">
        <v>8280</v>
      </c>
      <c r="S237" s="152">
        <v>47000</v>
      </c>
      <c r="T237" s="152">
        <v>22302</v>
      </c>
      <c r="U237" s="152">
        <v>31300</v>
      </c>
      <c r="V237" s="152">
        <v>9800</v>
      </c>
      <c r="W237" s="152">
        <v>7200</v>
      </c>
      <c r="X237" s="256">
        <v>8460</v>
      </c>
      <c r="Y237" s="257"/>
      <c r="Z237" s="257"/>
      <c r="AA237" s="257"/>
      <c r="AB237" s="257"/>
      <c r="AC237" s="257"/>
      <c r="AD237" s="257"/>
      <c r="AE237" s="257"/>
      <c r="AF237" s="257"/>
      <c r="AG237" s="257"/>
      <c r="AH237" s="257"/>
      <c r="AI237" s="257"/>
      <c r="AJ237" s="257"/>
      <c r="AK237" s="257"/>
      <c r="AL237" s="257"/>
      <c r="AM237" s="257"/>
      <c r="AN237" s="257"/>
      <c r="AO237" s="257"/>
      <c r="AP237" s="257"/>
      <c r="AQ237" s="257"/>
      <c r="AR237" s="257"/>
      <c r="AS237" s="257"/>
      <c r="AT237" s="257"/>
      <c r="AU237" s="257"/>
      <c r="AV237" s="257"/>
      <c r="AW237" s="257"/>
      <c r="AX237" s="257"/>
      <c r="AY237" s="257"/>
      <c r="AZ237" s="257"/>
    </row>
    <row r="238" spans="1:52" s="258" customFormat="1" hidden="1">
      <c r="A238" s="234">
        <v>4</v>
      </c>
      <c r="B238" s="121" t="s">
        <v>34</v>
      </c>
      <c r="C238" s="121"/>
      <c r="D238" s="259" t="s">
        <v>95</v>
      </c>
      <c r="E238" s="51">
        <f t="shared" si="24"/>
        <v>139800</v>
      </c>
      <c r="F238" s="51">
        <f t="shared" si="25"/>
        <v>0</v>
      </c>
      <c r="G238" s="152">
        <v>0</v>
      </c>
      <c r="H238" s="135"/>
      <c r="I238" s="135"/>
      <c r="J238" s="135"/>
      <c r="K238" s="135"/>
      <c r="L238" s="51">
        <f t="shared" si="26"/>
        <v>139800</v>
      </c>
      <c r="M238" s="255">
        <v>19200</v>
      </c>
      <c r="N238" s="135">
        <v>9600</v>
      </c>
      <c r="O238" s="152"/>
      <c r="P238" s="152">
        <v>20400</v>
      </c>
      <c r="Q238" s="163">
        <v>19200</v>
      </c>
      <c r="R238" s="152"/>
      <c r="S238" s="152">
        <v>33600</v>
      </c>
      <c r="T238" s="152">
        <v>0</v>
      </c>
      <c r="U238" s="152">
        <v>9000</v>
      </c>
      <c r="V238" s="152">
        <v>18000</v>
      </c>
      <c r="W238" s="152">
        <v>10800</v>
      </c>
      <c r="X238" s="256">
        <v>0</v>
      </c>
      <c r="Y238" s="257"/>
      <c r="Z238" s="257"/>
      <c r="AA238" s="257"/>
      <c r="AB238" s="257"/>
      <c r="AC238" s="257"/>
      <c r="AD238" s="257"/>
      <c r="AE238" s="257"/>
      <c r="AF238" s="257"/>
      <c r="AG238" s="257"/>
      <c r="AH238" s="257"/>
      <c r="AI238" s="257"/>
      <c r="AJ238" s="257"/>
      <c r="AK238" s="257"/>
      <c r="AL238" s="257"/>
      <c r="AM238" s="257"/>
      <c r="AN238" s="257"/>
      <c r="AO238" s="257"/>
      <c r="AP238" s="257"/>
      <c r="AQ238" s="257"/>
      <c r="AR238" s="257"/>
      <c r="AS238" s="257"/>
      <c r="AT238" s="257"/>
      <c r="AU238" s="257"/>
      <c r="AV238" s="257"/>
      <c r="AW238" s="257"/>
      <c r="AX238" s="257"/>
      <c r="AY238" s="257"/>
      <c r="AZ238" s="257"/>
    </row>
    <row r="239" spans="1:52" s="261" customFormat="1" ht="33.75" hidden="1">
      <c r="A239" s="234">
        <v>5</v>
      </c>
      <c r="B239" s="121" t="s">
        <v>34</v>
      </c>
      <c r="C239" s="121"/>
      <c r="D239" s="254" t="s">
        <v>454</v>
      </c>
      <c r="E239" s="51">
        <f t="shared" si="24"/>
        <v>509658</v>
      </c>
      <c r="F239" s="51">
        <f t="shared" si="25"/>
        <v>100000</v>
      </c>
      <c r="G239" s="152">
        <v>100000</v>
      </c>
      <c r="H239" s="110"/>
      <c r="I239" s="110"/>
      <c r="J239" s="110"/>
      <c r="K239" s="110"/>
      <c r="L239" s="51">
        <f t="shared" si="26"/>
        <v>409658</v>
      </c>
      <c r="M239" s="255">
        <v>11195</v>
      </c>
      <c r="N239" s="110">
        <v>20000</v>
      </c>
      <c r="O239" s="152"/>
      <c r="P239" s="152">
        <v>14240</v>
      </c>
      <c r="Q239" s="163">
        <v>5120</v>
      </c>
      <c r="R239" s="152">
        <v>16272</v>
      </c>
      <c r="S239" s="152">
        <v>25000</v>
      </c>
      <c r="T239" s="152">
        <v>186831</v>
      </c>
      <c r="U239" s="152">
        <v>25000</v>
      </c>
      <c r="V239" s="152">
        <v>34000</v>
      </c>
      <c r="W239" s="152">
        <v>36000</v>
      </c>
      <c r="X239" s="256">
        <v>36000</v>
      </c>
      <c r="Y239" s="260"/>
      <c r="Z239" s="260"/>
      <c r="AA239" s="260"/>
      <c r="AB239" s="260"/>
      <c r="AC239" s="260"/>
      <c r="AD239" s="260"/>
      <c r="AE239" s="260"/>
      <c r="AF239" s="260"/>
      <c r="AG239" s="260"/>
      <c r="AH239" s="260"/>
      <c r="AI239" s="260"/>
      <c r="AJ239" s="260"/>
      <c r="AK239" s="260"/>
      <c r="AL239" s="260"/>
      <c r="AM239" s="260"/>
      <c r="AN239" s="260"/>
      <c r="AO239" s="260"/>
      <c r="AP239" s="260"/>
      <c r="AQ239" s="260"/>
      <c r="AR239" s="260"/>
      <c r="AS239" s="260"/>
      <c r="AT239" s="260"/>
      <c r="AU239" s="260"/>
      <c r="AV239" s="260"/>
      <c r="AW239" s="260"/>
      <c r="AX239" s="260"/>
      <c r="AY239" s="260"/>
      <c r="AZ239" s="260"/>
    </row>
    <row r="240" spans="1:52" s="261" customFormat="1" hidden="1">
      <c r="A240" s="234">
        <v>6</v>
      </c>
      <c r="B240" s="121" t="s">
        <v>34</v>
      </c>
      <c r="C240" s="121"/>
      <c r="D240" s="254" t="s">
        <v>455</v>
      </c>
      <c r="E240" s="51">
        <f t="shared" si="24"/>
        <v>43600</v>
      </c>
      <c r="F240" s="51">
        <f t="shared" si="25"/>
        <v>38000</v>
      </c>
      <c r="G240" s="152">
        <v>38000</v>
      </c>
      <c r="H240" s="110"/>
      <c r="I240" s="110"/>
      <c r="J240" s="110"/>
      <c r="K240" s="110"/>
      <c r="L240" s="51">
        <f t="shared" si="26"/>
        <v>5600</v>
      </c>
      <c r="M240" s="255">
        <v>0</v>
      </c>
      <c r="N240" s="110">
        <v>0</v>
      </c>
      <c r="O240" s="152"/>
      <c r="P240" s="152">
        <v>5600</v>
      </c>
      <c r="Q240" s="152">
        <v>0</v>
      </c>
      <c r="R240" s="152"/>
      <c r="T240" s="152"/>
      <c r="U240" s="152">
        <v>0</v>
      </c>
      <c r="V240" s="152"/>
      <c r="W240" s="152"/>
      <c r="X240" s="256">
        <v>0</v>
      </c>
      <c r="Y240" s="260"/>
      <c r="Z240" s="260"/>
      <c r="AA240" s="260"/>
      <c r="AB240" s="260"/>
      <c r="AC240" s="260"/>
      <c r="AD240" s="260"/>
      <c r="AE240" s="260"/>
      <c r="AF240" s="260"/>
      <c r="AG240" s="260"/>
      <c r="AH240" s="260"/>
      <c r="AI240" s="260"/>
      <c r="AJ240" s="260"/>
      <c r="AK240" s="260"/>
      <c r="AL240" s="260"/>
      <c r="AM240" s="260"/>
      <c r="AN240" s="260"/>
      <c r="AO240" s="260"/>
      <c r="AP240" s="260"/>
      <c r="AQ240" s="260"/>
      <c r="AR240" s="260"/>
      <c r="AS240" s="260"/>
      <c r="AT240" s="260"/>
      <c r="AU240" s="260"/>
      <c r="AV240" s="260"/>
      <c r="AW240" s="260"/>
      <c r="AX240" s="260"/>
      <c r="AY240" s="260"/>
      <c r="AZ240" s="260"/>
    </row>
    <row r="241" spans="1:58" s="261" customFormat="1" hidden="1">
      <c r="A241" s="234">
        <v>7</v>
      </c>
      <c r="B241" s="121" t="s">
        <v>34</v>
      </c>
      <c r="C241" s="121"/>
      <c r="D241" s="254" t="s">
        <v>97</v>
      </c>
      <c r="E241" s="51">
        <f t="shared" si="24"/>
        <v>9810</v>
      </c>
      <c r="F241" s="51">
        <f t="shared" si="25"/>
        <v>2000</v>
      </c>
      <c r="G241" s="152">
        <v>2000</v>
      </c>
      <c r="H241" s="110"/>
      <c r="I241" s="110"/>
      <c r="J241" s="110"/>
      <c r="K241" s="110"/>
      <c r="L241" s="51">
        <f t="shared" si="26"/>
        <v>7810</v>
      </c>
      <c r="M241" s="255">
        <v>0</v>
      </c>
      <c r="N241" s="110">
        <v>1000</v>
      </c>
      <c r="O241" s="152">
        <v>900</v>
      </c>
      <c r="P241" s="152">
        <v>0</v>
      </c>
      <c r="Q241" s="163">
        <v>1000</v>
      </c>
      <c r="R241" s="152"/>
      <c r="S241" s="152">
        <v>3000</v>
      </c>
      <c r="T241" s="152"/>
      <c r="U241" s="152">
        <v>1910</v>
      </c>
      <c r="V241" s="152"/>
      <c r="W241" s="152"/>
      <c r="X241" s="256">
        <v>0</v>
      </c>
      <c r="Y241" s="260"/>
      <c r="Z241" s="260"/>
      <c r="AA241" s="260"/>
      <c r="AB241" s="260"/>
      <c r="AC241" s="260"/>
      <c r="AD241" s="260"/>
      <c r="AE241" s="260"/>
      <c r="AF241" s="260"/>
      <c r="AG241" s="260"/>
      <c r="AH241" s="260"/>
      <c r="AI241" s="260"/>
      <c r="AJ241" s="260"/>
      <c r="AK241" s="260"/>
      <c r="AL241" s="260"/>
      <c r="AM241" s="260"/>
      <c r="AN241" s="260"/>
      <c r="AO241" s="260"/>
      <c r="AP241" s="260"/>
      <c r="AQ241" s="260"/>
      <c r="AR241" s="260"/>
      <c r="AS241" s="260"/>
      <c r="AT241" s="260"/>
      <c r="AU241" s="260"/>
      <c r="AV241" s="260"/>
      <c r="AW241" s="260"/>
      <c r="AX241" s="260"/>
      <c r="AY241" s="260"/>
      <c r="AZ241" s="260"/>
    </row>
    <row r="242" spans="1:58" s="261" customFormat="1" ht="22.5" hidden="1">
      <c r="A242" s="234">
        <v>8</v>
      </c>
      <c r="B242" s="121" t="s">
        <v>34</v>
      </c>
      <c r="C242" s="121"/>
      <c r="D242" s="254" t="s">
        <v>98</v>
      </c>
      <c r="E242" s="51">
        <f t="shared" si="24"/>
        <v>375288</v>
      </c>
      <c r="F242" s="51">
        <f t="shared" si="25"/>
        <v>0</v>
      </c>
      <c r="G242" s="152">
        <v>0</v>
      </c>
      <c r="H242" s="110"/>
      <c r="I242" s="110"/>
      <c r="J242" s="110"/>
      <c r="K242" s="110"/>
      <c r="L242" s="51">
        <f t="shared" si="26"/>
        <v>375288</v>
      </c>
      <c r="M242" s="255">
        <v>36415</v>
      </c>
      <c r="N242" s="110">
        <v>20000</v>
      </c>
      <c r="O242" s="152">
        <v>26000</v>
      </c>
      <c r="P242" s="152">
        <v>45000</v>
      </c>
      <c r="Q242" s="152">
        <v>38500</v>
      </c>
      <c r="R242" s="152">
        <v>19448</v>
      </c>
      <c r="S242" s="152">
        <v>51000</v>
      </c>
      <c r="T242" s="152">
        <v>29325</v>
      </c>
      <c r="U242" s="152">
        <v>60000</v>
      </c>
      <c r="V242" s="152">
        <v>20000</v>
      </c>
      <c r="W242" s="152">
        <v>20000</v>
      </c>
      <c r="X242" s="256">
        <v>9600</v>
      </c>
      <c r="Y242" s="260"/>
      <c r="Z242" s="260"/>
      <c r="AA242" s="260"/>
      <c r="AB242" s="260"/>
      <c r="AC242" s="260"/>
      <c r="AD242" s="260"/>
      <c r="AE242" s="260"/>
      <c r="AF242" s="260"/>
      <c r="AG242" s="260"/>
      <c r="AH242" s="260"/>
      <c r="AI242" s="260"/>
      <c r="AJ242" s="260"/>
      <c r="AK242" s="260"/>
      <c r="AL242" s="260"/>
      <c r="AM242" s="260"/>
      <c r="AN242" s="260"/>
      <c r="AO242" s="260"/>
      <c r="AP242" s="260"/>
      <c r="AQ242" s="260"/>
      <c r="AR242" s="260"/>
      <c r="AS242" s="260"/>
      <c r="AT242" s="260"/>
      <c r="AU242" s="260"/>
      <c r="AV242" s="260"/>
      <c r="AW242" s="260"/>
      <c r="AX242" s="260"/>
      <c r="AY242" s="260"/>
      <c r="AZ242" s="260"/>
    </row>
    <row r="243" spans="1:58" s="264" customFormat="1" ht="22.5" hidden="1">
      <c r="A243" s="234">
        <v>9</v>
      </c>
      <c r="B243" s="121" t="s">
        <v>34</v>
      </c>
      <c r="C243" s="121"/>
      <c r="D243" s="262" t="s">
        <v>204</v>
      </c>
      <c r="E243" s="51">
        <f t="shared" si="24"/>
        <v>207500</v>
      </c>
      <c r="F243" s="51">
        <f t="shared" si="25"/>
        <v>0</v>
      </c>
      <c r="G243" s="152">
        <v>0</v>
      </c>
      <c r="H243" s="110"/>
      <c r="I243" s="110"/>
      <c r="J243" s="110"/>
      <c r="K243" s="110"/>
      <c r="L243" s="51">
        <f t="shared" si="26"/>
        <v>207500</v>
      </c>
      <c r="M243" s="136">
        <v>10000</v>
      </c>
      <c r="N243" s="110">
        <v>50000</v>
      </c>
      <c r="O243" s="152">
        <v>20000</v>
      </c>
      <c r="P243" s="152">
        <v>17000</v>
      </c>
      <c r="Q243" s="152">
        <v>10000</v>
      </c>
      <c r="R243" s="152"/>
      <c r="S243" s="152">
        <v>25000</v>
      </c>
      <c r="T243" s="152">
        <v>5000</v>
      </c>
      <c r="U243" s="110">
        <v>10000</v>
      </c>
      <c r="V243" s="152">
        <v>20000</v>
      </c>
      <c r="W243" s="152">
        <v>20000</v>
      </c>
      <c r="X243" s="256">
        <v>20500</v>
      </c>
      <c r="Y243" s="263"/>
      <c r="Z243" s="263"/>
      <c r="AA243" s="263"/>
      <c r="AB243" s="263"/>
      <c r="AC243" s="263"/>
      <c r="AD243" s="263"/>
      <c r="AE243" s="263"/>
      <c r="AF243" s="263"/>
      <c r="AG243" s="263"/>
      <c r="AH243" s="263"/>
      <c r="AI243" s="263"/>
      <c r="AJ243" s="263"/>
      <c r="AK243" s="263"/>
      <c r="AL243" s="263"/>
      <c r="AM243" s="263"/>
      <c r="AN243" s="263"/>
      <c r="AO243" s="263"/>
      <c r="AP243" s="263"/>
      <c r="AQ243" s="263"/>
      <c r="AR243" s="263"/>
      <c r="AS243" s="263"/>
      <c r="AT243" s="263"/>
      <c r="AU243" s="263"/>
      <c r="AV243" s="263"/>
      <c r="AW243" s="263"/>
      <c r="AX243" s="263"/>
      <c r="AY243" s="263"/>
      <c r="AZ243" s="263"/>
    </row>
    <row r="244" spans="1:58" s="264" customFormat="1" ht="22.5" hidden="1">
      <c r="A244" s="234">
        <v>10</v>
      </c>
      <c r="B244" s="121" t="s">
        <v>34</v>
      </c>
      <c r="C244" s="121"/>
      <c r="D244" s="265" t="s">
        <v>214</v>
      </c>
      <c r="E244" s="51">
        <f t="shared" si="24"/>
        <v>540000</v>
      </c>
      <c r="F244" s="51">
        <f t="shared" si="25"/>
        <v>0</v>
      </c>
      <c r="G244" s="152">
        <v>0</v>
      </c>
      <c r="H244" s="110"/>
      <c r="I244" s="110"/>
      <c r="J244" s="110"/>
      <c r="K244" s="110"/>
      <c r="L244" s="51">
        <f t="shared" si="26"/>
        <v>540000</v>
      </c>
      <c r="M244" s="110">
        <v>200000</v>
      </c>
      <c r="N244" s="110">
        <v>0</v>
      </c>
      <c r="O244" s="145"/>
      <c r="P244" s="152">
        <v>120000</v>
      </c>
      <c r="Q244" s="163">
        <v>120000</v>
      </c>
      <c r="R244" s="152"/>
      <c r="S244" s="152"/>
      <c r="T244" s="110"/>
      <c r="U244" s="110">
        <v>100000</v>
      </c>
      <c r="V244" s="152"/>
      <c r="W244" s="152"/>
      <c r="X244" s="256">
        <v>0</v>
      </c>
      <c r="Y244" s="263"/>
      <c r="Z244" s="263"/>
      <c r="AA244" s="263"/>
      <c r="AB244" s="263"/>
      <c r="AC244" s="263"/>
      <c r="AD244" s="263"/>
      <c r="AE244" s="263"/>
      <c r="AF244" s="263"/>
      <c r="AG244" s="263"/>
      <c r="AH244" s="263"/>
      <c r="AI244" s="263"/>
      <c r="AJ244" s="263"/>
      <c r="AK244" s="263"/>
      <c r="AL244" s="263"/>
      <c r="AM244" s="263"/>
      <c r="AN244" s="263"/>
      <c r="AO244" s="263"/>
      <c r="AP244" s="263"/>
      <c r="AQ244" s="263"/>
      <c r="AR244" s="263"/>
      <c r="AS244" s="263"/>
      <c r="AT244" s="263"/>
      <c r="AU244" s="263"/>
      <c r="AV244" s="263"/>
      <c r="AW244" s="263"/>
      <c r="AX244" s="263"/>
      <c r="AY244" s="263"/>
      <c r="AZ244" s="263"/>
    </row>
    <row r="245" spans="1:58" s="264" customFormat="1" hidden="1">
      <c r="A245" s="234">
        <v>11</v>
      </c>
      <c r="B245" s="121" t="s">
        <v>34</v>
      </c>
      <c r="C245" s="121"/>
      <c r="D245" s="106" t="s">
        <v>290</v>
      </c>
      <c r="E245" s="51">
        <f t="shared" si="24"/>
        <v>13500</v>
      </c>
      <c r="F245" s="51">
        <f t="shared" si="25"/>
        <v>0</v>
      </c>
      <c r="G245" s="152">
        <v>0</v>
      </c>
      <c r="H245" s="110"/>
      <c r="I245" s="110"/>
      <c r="J245" s="110"/>
      <c r="K245" s="110"/>
      <c r="L245" s="51">
        <f t="shared" si="26"/>
        <v>13500</v>
      </c>
      <c r="M245" s="110"/>
      <c r="N245" s="110"/>
      <c r="O245" s="145"/>
      <c r="P245" s="152">
        <v>0</v>
      </c>
      <c r="Q245" s="163"/>
      <c r="R245" s="152"/>
      <c r="S245" s="152">
        <v>10000</v>
      </c>
      <c r="T245" s="110"/>
      <c r="U245" s="110"/>
      <c r="V245" s="152"/>
      <c r="W245" s="152">
        <v>3500</v>
      </c>
      <c r="X245" s="256">
        <v>0</v>
      </c>
      <c r="Y245" s="263"/>
      <c r="Z245" s="263"/>
      <c r="AA245" s="263"/>
      <c r="AB245" s="263"/>
      <c r="AC245" s="263"/>
      <c r="AD245" s="263"/>
      <c r="AE245" s="263"/>
      <c r="AF245" s="263"/>
      <c r="AG245" s="263"/>
      <c r="AH245" s="263"/>
      <c r="AI245" s="263"/>
      <c r="AJ245" s="263"/>
      <c r="AK245" s="263"/>
      <c r="AL245" s="263"/>
      <c r="AM245" s="263"/>
      <c r="AN245" s="263"/>
      <c r="AO245" s="263"/>
      <c r="AP245" s="263"/>
      <c r="AQ245" s="263"/>
      <c r="AR245" s="263"/>
      <c r="AS245" s="263"/>
      <c r="AT245" s="263"/>
      <c r="AU245" s="263"/>
      <c r="AV245" s="263"/>
      <c r="AW245" s="263"/>
      <c r="AX245" s="263"/>
      <c r="AY245" s="263"/>
      <c r="AZ245" s="263"/>
    </row>
    <row r="246" spans="1:58" s="266" customFormat="1" ht="22.5" hidden="1">
      <c r="A246" s="234">
        <v>12</v>
      </c>
      <c r="B246" s="121" t="s">
        <v>34</v>
      </c>
      <c r="C246" s="121"/>
      <c r="D246" s="104" t="s">
        <v>456</v>
      </c>
      <c r="E246" s="51">
        <f t="shared" si="24"/>
        <v>6720085</v>
      </c>
      <c r="F246" s="51">
        <f t="shared" si="25"/>
        <v>394070</v>
      </c>
      <c r="G246" s="152">
        <v>394070</v>
      </c>
      <c r="H246" s="110"/>
      <c r="I246" s="110"/>
      <c r="J246" s="110"/>
      <c r="K246" s="110"/>
      <c r="L246" s="51">
        <f t="shared" si="26"/>
        <v>6326015</v>
      </c>
      <c r="M246" s="110">
        <v>2006566</v>
      </c>
      <c r="N246" s="110">
        <v>330210</v>
      </c>
      <c r="O246" s="145">
        <v>567000</v>
      </c>
      <c r="P246" s="152">
        <v>932501</v>
      </c>
      <c r="Q246" s="163">
        <v>761493</v>
      </c>
      <c r="R246" s="152">
        <v>513670</v>
      </c>
      <c r="S246" s="152">
        <v>168000</v>
      </c>
      <c r="T246" s="110"/>
      <c r="U246" s="110">
        <v>472188</v>
      </c>
      <c r="V246" s="152">
        <v>258650</v>
      </c>
      <c r="W246" s="152">
        <v>291850</v>
      </c>
      <c r="X246" s="256">
        <v>23887</v>
      </c>
      <c r="Y246" s="263"/>
      <c r="Z246" s="263"/>
      <c r="AA246" s="263"/>
      <c r="AB246" s="263"/>
      <c r="AC246" s="263"/>
      <c r="AD246" s="263"/>
      <c r="AE246" s="263"/>
      <c r="AF246" s="263"/>
      <c r="AG246" s="263"/>
      <c r="AH246" s="263"/>
      <c r="AI246" s="263"/>
      <c r="AJ246" s="263"/>
      <c r="AK246" s="263"/>
      <c r="AL246" s="263"/>
      <c r="AM246" s="263"/>
      <c r="AN246" s="263"/>
      <c r="AO246" s="263"/>
      <c r="AP246" s="263"/>
      <c r="AQ246" s="263"/>
      <c r="AR246" s="263"/>
      <c r="AS246" s="263"/>
      <c r="AT246" s="263"/>
      <c r="AU246" s="263"/>
      <c r="AV246" s="263"/>
      <c r="AW246" s="263"/>
      <c r="AX246" s="263"/>
      <c r="AY246" s="263"/>
      <c r="AZ246" s="263"/>
      <c r="BA246" s="264"/>
      <c r="BB246" s="264"/>
      <c r="BC246" s="264"/>
      <c r="BD246" s="264"/>
      <c r="BE246" s="264"/>
      <c r="BF246" s="264"/>
    </row>
    <row r="247" spans="1:58" s="266" customFormat="1" hidden="1">
      <c r="A247" s="234">
        <v>13</v>
      </c>
      <c r="B247" s="121" t="s">
        <v>34</v>
      </c>
      <c r="C247" s="121"/>
      <c r="D247" s="106" t="s">
        <v>611</v>
      </c>
      <c r="E247" s="51">
        <f t="shared" si="24"/>
        <v>1017334</v>
      </c>
      <c r="F247" s="51">
        <f t="shared" si="25"/>
        <v>0</v>
      </c>
      <c r="G247" s="152">
        <v>0</v>
      </c>
      <c r="H247" s="110"/>
      <c r="I247" s="110"/>
      <c r="J247" s="110"/>
      <c r="K247" s="110"/>
      <c r="L247" s="51">
        <f t="shared" si="26"/>
        <v>1017334</v>
      </c>
      <c r="M247" s="110">
        <v>85027</v>
      </c>
      <c r="N247" s="110">
        <v>50000</v>
      </c>
      <c r="O247" s="145">
        <v>116995</v>
      </c>
      <c r="P247" s="152"/>
      <c r="Q247" s="163">
        <v>142133</v>
      </c>
      <c r="R247" s="152">
        <v>56595</v>
      </c>
      <c r="S247" s="152"/>
      <c r="T247" s="110"/>
      <c r="U247" s="110">
        <v>121888</v>
      </c>
      <c r="V247" s="152">
        <v>72390</v>
      </c>
      <c r="W247" s="152">
        <v>40650</v>
      </c>
      <c r="X247" s="256">
        <v>331656</v>
      </c>
      <c r="Y247" s="263"/>
      <c r="Z247" s="263"/>
      <c r="AA247" s="263"/>
      <c r="AB247" s="263"/>
      <c r="AC247" s="263"/>
      <c r="AD247" s="263"/>
      <c r="AE247" s="263"/>
      <c r="AF247" s="263"/>
      <c r="AG247" s="263"/>
      <c r="AH247" s="263"/>
      <c r="AI247" s="263"/>
      <c r="AJ247" s="263"/>
      <c r="AK247" s="263"/>
      <c r="AL247" s="263"/>
      <c r="AM247" s="263"/>
      <c r="AN247" s="263"/>
      <c r="AO247" s="263"/>
      <c r="AP247" s="263"/>
      <c r="AQ247" s="263"/>
      <c r="AR247" s="263"/>
      <c r="AS247" s="263"/>
      <c r="AT247" s="263"/>
      <c r="AU247" s="263"/>
      <c r="AV247" s="263"/>
      <c r="AW247" s="263"/>
      <c r="AX247" s="263"/>
      <c r="AY247" s="263"/>
      <c r="AZ247" s="263"/>
      <c r="BA247" s="264"/>
      <c r="BB247" s="264"/>
      <c r="BC247" s="264"/>
      <c r="BD247" s="264"/>
      <c r="BE247" s="264"/>
      <c r="BF247" s="264"/>
    </row>
    <row r="248" spans="1:58" s="266" customFormat="1" ht="22.5" hidden="1">
      <c r="A248" s="234">
        <v>14</v>
      </c>
      <c r="B248" s="121" t="s">
        <v>34</v>
      </c>
      <c r="C248" s="121"/>
      <c r="D248" s="570" t="s">
        <v>458</v>
      </c>
      <c r="E248" s="51">
        <f t="shared" si="24"/>
        <v>58200</v>
      </c>
      <c r="F248" s="51">
        <f t="shared" si="25"/>
        <v>50000</v>
      </c>
      <c r="G248" s="152">
        <v>50000</v>
      </c>
      <c r="H248" s="110"/>
      <c r="I248" s="110"/>
      <c r="J248" s="110"/>
      <c r="K248" s="110"/>
      <c r="L248" s="51">
        <f t="shared" si="26"/>
        <v>8200</v>
      </c>
      <c r="M248" s="110">
        <v>0</v>
      </c>
      <c r="N248" s="110">
        <v>0</v>
      </c>
      <c r="O248" s="145"/>
      <c r="P248" s="152">
        <v>0</v>
      </c>
      <c r="Q248" s="163"/>
      <c r="R248" s="152"/>
      <c r="S248" s="152">
        <v>5700</v>
      </c>
      <c r="T248" s="110"/>
      <c r="U248" s="110">
        <v>2500</v>
      </c>
      <c r="V248" s="152"/>
      <c r="W248" s="152"/>
      <c r="X248" s="256">
        <v>0</v>
      </c>
      <c r="Y248" s="263"/>
      <c r="Z248" s="263"/>
      <c r="AA248" s="263"/>
      <c r="AB248" s="263"/>
      <c r="AC248" s="263"/>
      <c r="AD248" s="263"/>
      <c r="AE248" s="263"/>
      <c r="AF248" s="263"/>
      <c r="AG248" s="263"/>
      <c r="AH248" s="263"/>
      <c r="AI248" s="263"/>
      <c r="AJ248" s="263"/>
      <c r="AK248" s="263"/>
      <c r="AL248" s="263"/>
      <c r="AM248" s="263"/>
      <c r="AN248" s="263"/>
      <c r="AO248" s="263"/>
      <c r="AP248" s="263"/>
      <c r="AQ248" s="263"/>
      <c r="AR248" s="263"/>
      <c r="AS248" s="263"/>
      <c r="AT248" s="263"/>
      <c r="AU248" s="263"/>
      <c r="AV248" s="263"/>
      <c r="AW248" s="263"/>
      <c r="AX248" s="263"/>
      <c r="AY248" s="263"/>
      <c r="AZ248" s="263"/>
      <c r="BA248" s="264"/>
      <c r="BB248" s="264"/>
      <c r="BC248" s="264"/>
      <c r="BD248" s="264"/>
      <c r="BE248" s="264"/>
      <c r="BF248" s="264"/>
    </row>
    <row r="249" spans="1:58" s="266" customFormat="1" hidden="1">
      <c r="A249" s="234">
        <v>15</v>
      </c>
      <c r="B249" s="121" t="s">
        <v>34</v>
      </c>
      <c r="C249" s="121"/>
      <c r="D249" s="106" t="s">
        <v>459</v>
      </c>
      <c r="E249" s="51">
        <f t="shared" si="24"/>
        <v>22050</v>
      </c>
      <c r="F249" s="51">
        <f t="shared" si="25"/>
        <v>0</v>
      </c>
      <c r="G249" s="152">
        <v>0</v>
      </c>
      <c r="H249" s="110"/>
      <c r="I249" s="110"/>
      <c r="J249" s="110"/>
      <c r="K249" s="110"/>
      <c r="L249" s="51">
        <f t="shared" si="26"/>
        <v>22050</v>
      </c>
      <c r="M249" s="110">
        <v>15000</v>
      </c>
      <c r="N249" s="110">
        <v>1000</v>
      </c>
      <c r="O249" s="145"/>
      <c r="P249" s="152">
        <v>0</v>
      </c>
      <c r="Q249" s="163">
        <v>2000</v>
      </c>
      <c r="R249" s="152"/>
      <c r="S249" s="152">
        <v>2700</v>
      </c>
      <c r="T249" s="110">
        <v>450</v>
      </c>
      <c r="U249" s="110"/>
      <c r="V249" s="152"/>
      <c r="W249" s="152"/>
      <c r="X249" s="256">
        <v>900</v>
      </c>
      <c r="Y249" s="263"/>
      <c r="Z249" s="263"/>
      <c r="AA249" s="263"/>
      <c r="AB249" s="263"/>
      <c r="AC249" s="263"/>
      <c r="AD249" s="263"/>
      <c r="AE249" s="263"/>
      <c r="AF249" s="263"/>
      <c r="AG249" s="263"/>
      <c r="AH249" s="263"/>
      <c r="AI249" s="263"/>
      <c r="AJ249" s="263"/>
      <c r="AK249" s="263"/>
      <c r="AL249" s="263"/>
      <c r="AM249" s="263"/>
      <c r="AN249" s="263"/>
      <c r="AO249" s="263"/>
      <c r="AP249" s="263"/>
      <c r="AQ249" s="263"/>
      <c r="AR249" s="263"/>
      <c r="AS249" s="263"/>
      <c r="AT249" s="263"/>
      <c r="AU249" s="263"/>
      <c r="AV249" s="263"/>
      <c r="AW249" s="263"/>
      <c r="AX249" s="263"/>
      <c r="AY249" s="263"/>
      <c r="AZ249" s="263"/>
      <c r="BA249" s="264"/>
      <c r="BB249" s="264"/>
      <c r="BC249" s="264"/>
      <c r="BD249" s="264"/>
      <c r="BE249" s="264"/>
      <c r="BF249" s="264"/>
    </row>
    <row r="250" spans="1:58" s="266" customFormat="1" ht="22.5" hidden="1">
      <c r="A250" s="234">
        <v>16</v>
      </c>
      <c r="B250" s="121" t="s">
        <v>34</v>
      </c>
      <c r="C250" s="121"/>
      <c r="D250" s="106" t="s">
        <v>460</v>
      </c>
      <c r="E250" s="51">
        <f t="shared" si="24"/>
        <v>7100</v>
      </c>
      <c r="F250" s="51">
        <f t="shared" si="25"/>
        <v>0</v>
      </c>
      <c r="G250" s="152">
        <v>0</v>
      </c>
      <c r="H250" s="110"/>
      <c r="I250" s="110"/>
      <c r="J250" s="110"/>
      <c r="K250" s="110"/>
      <c r="L250" s="51">
        <f t="shared" si="26"/>
        <v>7100</v>
      </c>
      <c r="M250" s="110">
        <v>1200</v>
      </c>
      <c r="N250" s="110">
        <v>1000</v>
      </c>
      <c r="O250" s="145"/>
      <c r="P250" s="152">
        <v>0</v>
      </c>
      <c r="Q250" s="163">
        <v>1000</v>
      </c>
      <c r="R250" s="152"/>
      <c r="S250" s="152">
        <v>2700</v>
      </c>
      <c r="T250" s="110">
        <v>400</v>
      </c>
      <c r="U250" s="110"/>
      <c r="V250" s="152"/>
      <c r="W250" s="152"/>
      <c r="X250" s="256">
        <v>800</v>
      </c>
      <c r="Y250" s="263"/>
      <c r="Z250" s="263"/>
      <c r="AA250" s="263"/>
      <c r="AB250" s="263"/>
      <c r="AC250" s="263"/>
      <c r="AD250" s="263"/>
      <c r="AE250" s="263"/>
      <c r="AF250" s="263"/>
      <c r="AG250" s="263"/>
      <c r="AH250" s="263"/>
      <c r="AI250" s="263"/>
      <c r="AJ250" s="263"/>
      <c r="AK250" s="263"/>
      <c r="AL250" s="263"/>
      <c r="AM250" s="263"/>
      <c r="AN250" s="263"/>
      <c r="AO250" s="263"/>
      <c r="AP250" s="263"/>
      <c r="AQ250" s="263"/>
      <c r="AR250" s="263"/>
      <c r="AS250" s="263"/>
      <c r="AT250" s="263"/>
      <c r="AU250" s="263"/>
      <c r="AV250" s="263"/>
      <c r="AW250" s="263"/>
      <c r="AX250" s="263"/>
      <c r="AY250" s="263"/>
      <c r="AZ250" s="263"/>
      <c r="BA250" s="264"/>
      <c r="BB250" s="264"/>
      <c r="BC250" s="264"/>
      <c r="BD250" s="264"/>
      <c r="BE250" s="264"/>
      <c r="BF250" s="264"/>
    </row>
    <row r="251" spans="1:58" s="266" customFormat="1" ht="33.75" hidden="1">
      <c r="A251" s="234">
        <v>17</v>
      </c>
      <c r="B251" s="121" t="s">
        <v>34</v>
      </c>
      <c r="C251" s="121"/>
      <c r="D251" s="106" t="s">
        <v>461</v>
      </c>
      <c r="E251" s="51">
        <f t="shared" si="24"/>
        <v>493374</v>
      </c>
      <c r="F251" s="51">
        <f t="shared" si="25"/>
        <v>46800</v>
      </c>
      <c r="G251" s="152">
        <v>46800</v>
      </c>
      <c r="H251" s="110"/>
      <c r="I251" s="110"/>
      <c r="J251" s="110"/>
      <c r="K251" s="110"/>
      <c r="L251" s="51">
        <f t="shared" si="26"/>
        <v>446574</v>
      </c>
      <c r="M251" s="110">
        <v>80000</v>
      </c>
      <c r="N251" s="110">
        <v>50000</v>
      </c>
      <c r="O251" s="145">
        <v>18000</v>
      </c>
      <c r="P251" s="152">
        <v>50825</v>
      </c>
      <c r="Q251" s="163">
        <v>30000</v>
      </c>
      <c r="R251" s="152">
        <v>15000</v>
      </c>
      <c r="S251" s="152">
        <v>102800</v>
      </c>
      <c r="T251" s="110"/>
      <c r="U251" s="110">
        <v>35000</v>
      </c>
      <c r="V251" s="152">
        <v>7000</v>
      </c>
      <c r="W251" s="152">
        <v>35869</v>
      </c>
      <c r="X251" s="256">
        <v>22080</v>
      </c>
      <c r="Y251" s="263"/>
      <c r="Z251" s="263"/>
      <c r="AA251" s="263"/>
      <c r="AB251" s="263"/>
      <c r="AC251" s="263"/>
      <c r="AD251" s="263"/>
      <c r="AE251" s="263"/>
      <c r="AF251" s="263"/>
      <c r="AG251" s="263"/>
      <c r="AH251" s="263"/>
      <c r="AI251" s="263"/>
      <c r="AJ251" s="263"/>
      <c r="AK251" s="263"/>
      <c r="AL251" s="263"/>
      <c r="AM251" s="263"/>
      <c r="AN251" s="263"/>
      <c r="AO251" s="263"/>
      <c r="AP251" s="263"/>
      <c r="AQ251" s="263"/>
      <c r="AR251" s="263"/>
      <c r="AS251" s="263"/>
      <c r="AT251" s="263"/>
      <c r="AU251" s="263"/>
      <c r="AV251" s="263"/>
      <c r="AW251" s="263"/>
      <c r="AX251" s="263"/>
      <c r="AY251" s="263"/>
      <c r="AZ251" s="263"/>
      <c r="BA251" s="264"/>
      <c r="BB251" s="264"/>
      <c r="BC251" s="264"/>
      <c r="BD251" s="264"/>
      <c r="BE251" s="264"/>
      <c r="BF251" s="264"/>
    </row>
    <row r="252" spans="1:58" s="266" customFormat="1" ht="33.75" hidden="1">
      <c r="A252" s="234">
        <v>18</v>
      </c>
      <c r="B252" s="121" t="s">
        <v>34</v>
      </c>
      <c r="C252" s="121"/>
      <c r="D252" s="570" t="s">
        <v>462</v>
      </c>
      <c r="E252" s="51">
        <f t="shared" si="24"/>
        <v>474992</v>
      </c>
      <c r="F252" s="51">
        <f t="shared" si="25"/>
        <v>293000</v>
      </c>
      <c r="G252" s="152">
        <v>293000</v>
      </c>
      <c r="H252" s="110"/>
      <c r="I252" s="110"/>
      <c r="J252" s="110"/>
      <c r="K252" s="110"/>
      <c r="L252" s="51">
        <f t="shared" si="26"/>
        <v>181992</v>
      </c>
      <c r="M252" s="110">
        <v>4080</v>
      </c>
      <c r="N252" s="110">
        <v>30000</v>
      </c>
      <c r="O252" s="145"/>
      <c r="P252" s="152">
        <v>7200</v>
      </c>
      <c r="Q252" s="163">
        <v>7680</v>
      </c>
      <c r="R252" s="152">
        <v>35200</v>
      </c>
      <c r="S252" s="152">
        <v>25000</v>
      </c>
      <c r="T252" s="110"/>
      <c r="U252" s="110">
        <v>53832</v>
      </c>
      <c r="V252" s="152">
        <v>14400</v>
      </c>
      <c r="W252" s="152"/>
      <c r="X252" s="256">
        <v>4600</v>
      </c>
      <c r="Y252" s="263"/>
      <c r="Z252" s="263"/>
      <c r="AA252" s="263"/>
      <c r="AB252" s="263"/>
      <c r="AC252" s="263"/>
      <c r="AD252" s="263"/>
      <c r="AE252" s="263"/>
      <c r="AF252" s="263"/>
      <c r="AG252" s="263"/>
      <c r="AH252" s="263"/>
      <c r="AI252" s="263"/>
      <c r="AJ252" s="263"/>
      <c r="AK252" s="263"/>
      <c r="AL252" s="263"/>
      <c r="AM252" s="263"/>
      <c r="AN252" s="263"/>
      <c r="AO252" s="263"/>
      <c r="AP252" s="263"/>
      <c r="AQ252" s="263"/>
      <c r="AR252" s="263"/>
      <c r="AS252" s="263"/>
      <c r="AT252" s="263"/>
      <c r="AU252" s="263"/>
      <c r="AV252" s="263"/>
      <c r="AW252" s="263"/>
      <c r="AX252" s="263"/>
      <c r="AY252" s="263"/>
      <c r="AZ252" s="263"/>
      <c r="BA252" s="264"/>
      <c r="BB252" s="264"/>
      <c r="BC252" s="264"/>
      <c r="BD252" s="264"/>
      <c r="BE252" s="264"/>
      <c r="BF252" s="264"/>
    </row>
    <row r="253" spans="1:58" s="266" customFormat="1" ht="33.75" hidden="1">
      <c r="A253" s="234">
        <v>19</v>
      </c>
      <c r="B253" s="121" t="s">
        <v>34</v>
      </c>
      <c r="C253" s="121"/>
      <c r="D253" s="106" t="s">
        <v>463</v>
      </c>
      <c r="E253" s="51">
        <f t="shared" si="24"/>
        <v>197300</v>
      </c>
      <c r="F253" s="51">
        <f t="shared" si="25"/>
        <v>95000</v>
      </c>
      <c r="G253" s="152">
        <v>95000</v>
      </c>
      <c r="H253" s="110"/>
      <c r="I253" s="110"/>
      <c r="J253" s="110"/>
      <c r="K253" s="110"/>
      <c r="L253" s="51">
        <f t="shared" si="26"/>
        <v>102300</v>
      </c>
      <c r="M253" s="110">
        <v>10000</v>
      </c>
      <c r="N253" s="110">
        <v>20000</v>
      </c>
      <c r="O253" s="145"/>
      <c r="P253" s="152">
        <v>0</v>
      </c>
      <c r="Q253" s="163">
        <v>21000</v>
      </c>
      <c r="R253" s="152"/>
      <c r="S253" s="152">
        <v>35000</v>
      </c>
      <c r="T253" s="110"/>
      <c r="U253" s="110">
        <v>10000</v>
      </c>
      <c r="V253" s="152"/>
      <c r="W253" s="152"/>
      <c r="X253" s="256">
        <v>6300</v>
      </c>
      <c r="Y253" s="263"/>
      <c r="Z253" s="263"/>
      <c r="AA253" s="263"/>
      <c r="AB253" s="263"/>
      <c r="AC253" s="263"/>
      <c r="AD253" s="263"/>
      <c r="AE253" s="263"/>
      <c r="AF253" s="263"/>
      <c r="AG253" s="263"/>
      <c r="AH253" s="263"/>
      <c r="AI253" s="263"/>
      <c r="AJ253" s="263"/>
      <c r="AK253" s="263"/>
      <c r="AL253" s="263"/>
      <c r="AM253" s="263"/>
      <c r="AN253" s="263"/>
      <c r="AO253" s="263"/>
      <c r="AP253" s="263"/>
      <c r="AQ253" s="263"/>
      <c r="AR253" s="263"/>
      <c r="AS253" s="263"/>
      <c r="AT253" s="263"/>
      <c r="AU253" s="263"/>
      <c r="AV253" s="263"/>
      <c r="AW253" s="263"/>
      <c r="AX253" s="263"/>
      <c r="AY253" s="263"/>
      <c r="AZ253" s="263"/>
      <c r="BA253" s="264"/>
      <c r="BB253" s="264"/>
      <c r="BC253" s="264"/>
      <c r="BD253" s="264"/>
      <c r="BE253" s="264"/>
      <c r="BF253" s="264"/>
    </row>
    <row r="254" spans="1:58" s="266" customFormat="1" ht="33.75" hidden="1">
      <c r="A254" s="234">
        <v>20</v>
      </c>
      <c r="B254" s="121" t="s">
        <v>34</v>
      </c>
      <c r="C254" s="121"/>
      <c r="D254" s="106" t="s">
        <v>464</v>
      </c>
      <c r="E254" s="51">
        <f t="shared" si="24"/>
        <v>690083</v>
      </c>
      <c r="F254" s="51">
        <f t="shared" si="25"/>
        <v>211200</v>
      </c>
      <c r="G254" s="152">
        <v>211200</v>
      </c>
      <c r="H254" s="110"/>
      <c r="I254" s="110"/>
      <c r="J254" s="110"/>
      <c r="K254" s="110"/>
      <c r="L254" s="51">
        <f t="shared" si="26"/>
        <v>478883</v>
      </c>
      <c r="M254" s="110">
        <v>50000</v>
      </c>
      <c r="N254" s="110">
        <v>50000</v>
      </c>
      <c r="O254" s="145"/>
      <c r="P254" s="152">
        <v>0</v>
      </c>
      <c r="Q254" s="163">
        <v>30000</v>
      </c>
      <c r="R254" s="152">
        <v>6000</v>
      </c>
      <c r="S254" s="152">
        <v>216000</v>
      </c>
      <c r="T254" s="110"/>
      <c r="U254" s="110">
        <v>6883</v>
      </c>
      <c r="V254" s="152">
        <v>100000</v>
      </c>
      <c r="W254" s="152"/>
      <c r="X254" s="256">
        <v>20000</v>
      </c>
      <c r="Y254" s="263"/>
      <c r="Z254" s="263"/>
      <c r="AA254" s="263"/>
      <c r="AB254" s="263"/>
      <c r="AC254" s="263"/>
      <c r="AD254" s="263"/>
      <c r="AE254" s="263"/>
      <c r="AF254" s="263"/>
      <c r="AG254" s="263"/>
      <c r="AH254" s="263"/>
      <c r="AI254" s="263"/>
      <c r="AJ254" s="263"/>
      <c r="AK254" s="263"/>
      <c r="AL254" s="263"/>
      <c r="AM254" s="263"/>
      <c r="AN254" s="263"/>
      <c r="AO254" s="263"/>
      <c r="AP254" s="263"/>
      <c r="AQ254" s="263"/>
      <c r="AR254" s="263"/>
      <c r="AS254" s="263"/>
      <c r="AT254" s="263"/>
      <c r="AU254" s="263"/>
      <c r="AV254" s="263"/>
      <c r="AW254" s="263"/>
      <c r="AX254" s="263"/>
      <c r="AY254" s="263"/>
      <c r="AZ254" s="263"/>
      <c r="BA254" s="264"/>
      <c r="BB254" s="264"/>
      <c r="BC254" s="264"/>
      <c r="BD254" s="264"/>
      <c r="BE254" s="264"/>
      <c r="BF254" s="264"/>
    </row>
    <row r="255" spans="1:58" s="266" customFormat="1" ht="33.75" hidden="1">
      <c r="A255" s="234">
        <v>21</v>
      </c>
      <c r="B255" s="121" t="s">
        <v>34</v>
      </c>
      <c r="C255" s="121"/>
      <c r="D255" s="570" t="s">
        <v>465</v>
      </c>
      <c r="E255" s="51">
        <f t="shared" si="24"/>
        <v>68000</v>
      </c>
      <c r="F255" s="51">
        <f t="shared" si="25"/>
        <v>25000</v>
      </c>
      <c r="G255" s="152">
        <v>25000</v>
      </c>
      <c r="H255" s="110"/>
      <c r="I255" s="110"/>
      <c r="J255" s="110"/>
      <c r="K255" s="110"/>
      <c r="L255" s="51">
        <f t="shared" si="26"/>
        <v>43000</v>
      </c>
      <c r="M255" s="110"/>
      <c r="N255" s="110"/>
      <c r="O255" s="145"/>
      <c r="P255" s="152">
        <v>25000</v>
      </c>
      <c r="Q255" s="163"/>
      <c r="R255" s="152"/>
      <c r="S255" s="152"/>
      <c r="T255" s="110"/>
      <c r="U255" s="110"/>
      <c r="V255" s="152"/>
      <c r="W255" s="152"/>
      <c r="X255" s="256">
        <v>18000</v>
      </c>
      <c r="Y255" s="263"/>
      <c r="Z255" s="263"/>
      <c r="AA255" s="263"/>
      <c r="AB255" s="263"/>
      <c r="AC255" s="263"/>
      <c r="AD255" s="263"/>
      <c r="AE255" s="263"/>
      <c r="AF255" s="263"/>
      <c r="AG255" s="263"/>
      <c r="AH255" s="263"/>
      <c r="AI255" s="263"/>
      <c r="AJ255" s="263"/>
      <c r="AK255" s="263"/>
      <c r="AL255" s="263"/>
      <c r="AM255" s="263"/>
      <c r="AN255" s="263"/>
      <c r="AO255" s="263"/>
      <c r="AP255" s="263"/>
      <c r="AQ255" s="263"/>
      <c r="AR255" s="263"/>
      <c r="AS255" s="263"/>
      <c r="AT255" s="263"/>
      <c r="AU255" s="263"/>
      <c r="AV255" s="263"/>
      <c r="AW255" s="263"/>
      <c r="AX255" s="263"/>
      <c r="AY255" s="263"/>
      <c r="AZ255" s="263"/>
      <c r="BA255" s="264"/>
      <c r="BB255" s="264"/>
      <c r="BC255" s="264"/>
      <c r="BD255" s="264"/>
      <c r="BE255" s="264"/>
      <c r="BF255" s="264"/>
    </row>
    <row r="256" spans="1:58" s="266" customFormat="1" hidden="1">
      <c r="A256" s="234">
        <v>22</v>
      </c>
      <c r="B256" s="121" t="s">
        <v>34</v>
      </c>
      <c r="C256" s="121"/>
      <c r="D256" s="106" t="s">
        <v>96</v>
      </c>
      <c r="E256" s="51">
        <f t="shared" si="24"/>
        <v>138400</v>
      </c>
      <c r="F256" s="51">
        <f t="shared" si="25"/>
        <v>25000</v>
      </c>
      <c r="G256" s="152">
        <v>25000</v>
      </c>
      <c r="H256" s="110"/>
      <c r="I256" s="110"/>
      <c r="J256" s="110"/>
      <c r="K256" s="110"/>
      <c r="L256" s="51">
        <f t="shared" si="26"/>
        <v>113400</v>
      </c>
      <c r="M256" s="110">
        <v>11520</v>
      </c>
      <c r="N256" s="110">
        <v>10000</v>
      </c>
      <c r="O256" s="145">
        <v>6000</v>
      </c>
      <c r="P256" s="152">
        <v>0</v>
      </c>
      <c r="Q256" s="163">
        <v>0</v>
      </c>
      <c r="R256" s="152">
        <v>12800</v>
      </c>
      <c r="S256" s="152">
        <v>39000</v>
      </c>
      <c r="T256" s="110"/>
      <c r="U256" s="110">
        <v>19680</v>
      </c>
      <c r="V256" s="152"/>
      <c r="W256" s="152">
        <v>14400</v>
      </c>
      <c r="X256" s="256">
        <v>0</v>
      </c>
      <c r="Y256" s="263"/>
      <c r="Z256" s="263"/>
      <c r="AA256" s="263"/>
      <c r="AB256" s="263"/>
      <c r="AC256" s="263"/>
      <c r="AD256" s="263"/>
      <c r="AE256" s="263"/>
      <c r="AF256" s="263"/>
      <c r="AG256" s="263"/>
      <c r="AH256" s="263"/>
      <c r="AI256" s="263"/>
      <c r="AJ256" s="263"/>
      <c r="AK256" s="263"/>
      <c r="AL256" s="263"/>
      <c r="AM256" s="263"/>
      <c r="AN256" s="263"/>
      <c r="AO256" s="263"/>
      <c r="AP256" s="263"/>
      <c r="AQ256" s="263"/>
      <c r="AR256" s="263"/>
      <c r="AS256" s="263"/>
      <c r="AT256" s="263"/>
      <c r="AU256" s="263"/>
      <c r="AV256" s="263"/>
      <c r="AW256" s="263"/>
      <c r="AX256" s="263"/>
      <c r="AY256" s="263"/>
      <c r="AZ256" s="263"/>
      <c r="BA256" s="264"/>
      <c r="BB256" s="264"/>
      <c r="BC256" s="264"/>
      <c r="BD256" s="264"/>
      <c r="BE256" s="264"/>
      <c r="BF256" s="264"/>
    </row>
    <row r="257" spans="1:58" s="266" customFormat="1" ht="33.75" hidden="1">
      <c r="A257" s="234">
        <v>23</v>
      </c>
      <c r="B257" s="121" t="s">
        <v>34</v>
      </c>
      <c r="C257" s="121"/>
      <c r="D257" s="106" t="s">
        <v>466</v>
      </c>
      <c r="E257" s="51">
        <f t="shared" si="24"/>
        <v>20400</v>
      </c>
      <c r="F257" s="51">
        <f t="shared" si="25"/>
        <v>15000</v>
      </c>
      <c r="G257" s="267">
        <v>15000</v>
      </c>
      <c r="H257" s="268"/>
      <c r="I257" s="268"/>
      <c r="J257" s="268"/>
      <c r="K257" s="268"/>
      <c r="L257" s="51">
        <f t="shared" si="26"/>
        <v>5400</v>
      </c>
      <c r="M257" s="110"/>
      <c r="N257" s="110">
        <v>0</v>
      </c>
      <c r="O257" s="145"/>
      <c r="P257" s="152">
        <v>0</v>
      </c>
      <c r="Q257" s="163">
        <v>0</v>
      </c>
      <c r="R257" s="152"/>
      <c r="S257" s="152"/>
      <c r="T257" s="110"/>
      <c r="U257" s="110">
        <v>0</v>
      </c>
      <c r="V257" s="152"/>
      <c r="W257" s="152"/>
      <c r="X257" s="256">
        <v>5400</v>
      </c>
      <c r="Y257" s="263"/>
      <c r="Z257" s="263"/>
      <c r="AA257" s="263"/>
      <c r="AB257" s="263"/>
      <c r="AC257" s="263"/>
      <c r="AD257" s="263"/>
      <c r="AE257" s="263"/>
      <c r="AF257" s="263"/>
      <c r="AG257" s="263"/>
      <c r="AH257" s="263"/>
      <c r="AI257" s="263"/>
      <c r="AJ257" s="263"/>
      <c r="AK257" s="263"/>
      <c r="AL257" s="263"/>
      <c r="AM257" s="263"/>
      <c r="AN257" s="263"/>
      <c r="AO257" s="263"/>
      <c r="AP257" s="263"/>
      <c r="AQ257" s="263"/>
      <c r="AR257" s="263"/>
      <c r="AS257" s="263"/>
      <c r="AT257" s="263"/>
      <c r="AU257" s="263"/>
      <c r="AV257" s="263"/>
      <c r="AW257" s="263"/>
      <c r="AX257" s="263"/>
      <c r="AY257" s="263"/>
      <c r="AZ257" s="263"/>
      <c r="BA257" s="264"/>
      <c r="BB257" s="264"/>
      <c r="BC257" s="264"/>
      <c r="BD257" s="264"/>
      <c r="BE257" s="264"/>
      <c r="BF257" s="264"/>
    </row>
    <row r="258" spans="1:58" s="271" customFormat="1" ht="45" hidden="1">
      <c r="A258" s="234">
        <v>24</v>
      </c>
      <c r="B258" s="121" t="s">
        <v>34</v>
      </c>
      <c r="C258" s="121"/>
      <c r="D258" s="570" t="s">
        <v>467</v>
      </c>
      <c r="E258" s="51">
        <f t="shared" si="24"/>
        <v>210320</v>
      </c>
      <c r="F258" s="51">
        <f t="shared" si="25"/>
        <v>45000</v>
      </c>
      <c r="G258" s="152">
        <v>45000</v>
      </c>
      <c r="H258" s="110"/>
      <c r="I258" s="110"/>
      <c r="J258" s="110"/>
      <c r="K258" s="110"/>
      <c r="L258" s="51">
        <f t="shared" si="26"/>
        <v>165320</v>
      </c>
      <c r="M258" s="110">
        <v>39700</v>
      </c>
      <c r="N258" s="110">
        <v>30000</v>
      </c>
      <c r="O258" s="145">
        <v>56000</v>
      </c>
      <c r="P258" s="152">
        <v>28620</v>
      </c>
      <c r="Q258" s="163">
        <v>0</v>
      </c>
      <c r="R258" s="152"/>
      <c r="S258" s="152">
        <v>10000</v>
      </c>
      <c r="T258" s="110"/>
      <c r="U258" s="110">
        <v>1000</v>
      </c>
      <c r="V258" s="152"/>
      <c r="W258" s="152"/>
      <c r="X258" s="256"/>
      <c r="Y258" s="263"/>
      <c r="Z258" s="263"/>
      <c r="AA258" s="263"/>
      <c r="AB258" s="263"/>
      <c r="AC258" s="263"/>
      <c r="AD258" s="263"/>
      <c r="AE258" s="263"/>
      <c r="AF258" s="263"/>
      <c r="AG258" s="263"/>
      <c r="AH258" s="263"/>
      <c r="AI258" s="263"/>
      <c r="AJ258" s="263"/>
      <c r="AK258" s="263"/>
      <c r="AL258" s="263"/>
      <c r="AM258" s="263"/>
      <c r="AN258" s="263"/>
      <c r="AO258" s="263"/>
      <c r="AP258" s="263"/>
      <c r="AQ258" s="263"/>
      <c r="AR258" s="263"/>
      <c r="AS258" s="263"/>
      <c r="AT258" s="263"/>
      <c r="AU258" s="263"/>
      <c r="AV258" s="263"/>
      <c r="AW258" s="263"/>
      <c r="AX258" s="263"/>
      <c r="AY258" s="263"/>
      <c r="AZ258" s="263"/>
      <c r="BA258" s="269"/>
      <c r="BB258" s="270"/>
      <c r="BC258" s="270"/>
      <c r="BD258" s="270"/>
      <c r="BE258" s="270"/>
      <c r="BF258" s="270"/>
    </row>
    <row r="259" spans="1:58" s="270" customFormat="1" ht="22.5" hidden="1">
      <c r="A259" s="234">
        <v>25</v>
      </c>
      <c r="B259" s="121" t="s">
        <v>34</v>
      </c>
      <c r="C259" s="121"/>
      <c r="D259" s="106" t="s">
        <v>468</v>
      </c>
      <c r="E259" s="51">
        <f t="shared" si="24"/>
        <v>353020</v>
      </c>
      <c r="F259" s="51">
        <f t="shared" si="25"/>
        <v>0</v>
      </c>
      <c r="G259" s="152">
        <v>0</v>
      </c>
      <c r="H259" s="110"/>
      <c r="I259" s="110"/>
      <c r="J259" s="110"/>
      <c r="K259" s="110"/>
      <c r="L259" s="51">
        <f t="shared" si="26"/>
        <v>353020</v>
      </c>
      <c r="M259" s="110">
        <v>41000</v>
      </c>
      <c r="N259" s="152">
        <v>13000</v>
      </c>
      <c r="O259" s="145">
        <v>29000</v>
      </c>
      <c r="P259" s="152">
        <v>48520</v>
      </c>
      <c r="Q259" s="163">
        <v>44500</v>
      </c>
      <c r="R259" s="152">
        <v>22000</v>
      </c>
      <c r="S259" s="147">
        <v>47000</v>
      </c>
      <c r="T259" s="110">
        <v>40000</v>
      </c>
      <c r="U259" s="110">
        <v>36000</v>
      </c>
      <c r="V259" s="152">
        <v>0</v>
      </c>
      <c r="W259" s="152">
        <v>16000</v>
      </c>
      <c r="X259" s="152">
        <v>16000</v>
      </c>
      <c r="Y259" s="263"/>
      <c r="Z259" s="263"/>
      <c r="AA259" s="263"/>
      <c r="AB259" s="263"/>
      <c r="AC259" s="263"/>
      <c r="AD259" s="263"/>
      <c r="AE259" s="263"/>
      <c r="AF259" s="263"/>
      <c r="AG259" s="263"/>
      <c r="AH259" s="263"/>
      <c r="AI259" s="263"/>
      <c r="AJ259" s="263"/>
      <c r="AK259" s="263"/>
      <c r="AL259" s="263"/>
      <c r="AM259" s="263"/>
      <c r="AN259" s="263"/>
      <c r="AO259" s="263"/>
      <c r="AP259" s="263"/>
      <c r="AQ259" s="263"/>
      <c r="AR259" s="263"/>
      <c r="AS259" s="263"/>
      <c r="AT259" s="263"/>
      <c r="AU259" s="263"/>
      <c r="AV259" s="263"/>
      <c r="AW259" s="263"/>
      <c r="AX259" s="263"/>
      <c r="AY259" s="263"/>
      <c r="AZ259" s="263"/>
      <c r="BA259" s="269"/>
    </row>
    <row r="260" spans="1:58" s="271" customFormat="1" hidden="1">
      <c r="A260" s="234">
        <v>26</v>
      </c>
      <c r="B260" s="121" t="s">
        <v>34</v>
      </c>
      <c r="C260" s="121"/>
      <c r="D260" s="106" t="s">
        <v>469</v>
      </c>
      <c r="E260" s="51">
        <f t="shared" si="24"/>
        <v>200000</v>
      </c>
      <c r="F260" s="51">
        <f t="shared" si="25"/>
        <v>0</v>
      </c>
      <c r="G260" s="152">
        <v>0</v>
      </c>
      <c r="H260" s="110"/>
      <c r="I260" s="110"/>
      <c r="J260" s="110"/>
      <c r="K260" s="110"/>
      <c r="L260" s="51">
        <f t="shared" si="26"/>
        <v>200000</v>
      </c>
      <c r="M260" s="110"/>
      <c r="N260" s="152"/>
      <c r="O260" s="145"/>
      <c r="P260" s="152"/>
      <c r="Q260" s="163">
        <v>200000</v>
      </c>
      <c r="R260" s="152"/>
      <c r="S260" s="147"/>
      <c r="T260" s="110"/>
      <c r="U260" s="110"/>
      <c r="V260" s="152"/>
      <c r="W260" s="152"/>
      <c r="X260" s="256"/>
      <c r="Y260" s="263"/>
      <c r="Z260" s="263"/>
      <c r="AA260" s="263"/>
      <c r="AB260" s="263"/>
      <c r="AC260" s="263"/>
      <c r="AD260" s="263"/>
      <c r="AE260" s="263"/>
      <c r="AF260" s="263"/>
      <c r="AG260" s="263"/>
      <c r="AH260" s="263"/>
      <c r="AI260" s="263"/>
      <c r="AJ260" s="263"/>
      <c r="AK260" s="263"/>
      <c r="AL260" s="263"/>
      <c r="AM260" s="263"/>
      <c r="AN260" s="263"/>
      <c r="AO260" s="263"/>
      <c r="AP260" s="263"/>
      <c r="AQ260" s="263"/>
      <c r="AR260" s="263"/>
      <c r="AS260" s="263"/>
      <c r="AT260" s="263"/>
      <c r="AU260" s="263"/>
      <c r="AV260" s="263"/>
      <c r="AW260" s="263"/>
      <c r="AX260" s="263"/>
      <c r="AY260" s="263"/>
      <c r="AZ260" s="263"/>
      <c r="BA260" s="269"/>
      <c r="BB260" s="270"/>
      <c r="BC260" s="270"/>
      <c r="BD260" s="270"/>
      <c r="BE260" s="270"/>
      <c r="BF260" s="270"/>
    </row>
    <row r="261" spans="1:58" s="271" customFormat="1" ht="33.75" hidden="1">
      <c r="A261" s="234">
        <v>27</v>
      </c>
      <c r="B261" s="121" t="s">
        <v>34</v>
      </c>
      <c r="C261" s="121"/>
      <c r="D261" s="570" t="s">
        <v>470</v>
      </c>
      <c r="E261" s="51">
        <f t="shared" si="24"/>
        <v>120147</v>
      </c>
      <c r="F261" s="51">
        <f t="shared" si="25"/>
        <v>0</v>
      </c>
      <c r="G261" s="152">
        <v>0</v>
      </c>
      <c r="H261" s="110"/>
      <c r="I261" s="110"/>
      <c r="J261" s="110"/>
      <c r="K261" s="110"/>
      <c r="L261" s="51">
        <f t="shared" si="26"/>
        <v>120147</v>
      </c>
      <c r="M261" s="110">
        <v>20000</v>
      </c>
      <c r="N261" s="152"/>
      <c r="O261" s="145"/>
      <c r="P261" s="152"/>
      <c r="Q261" s="163">
        <v>10000</v>
      </c>
      <c r="R261" s="152"/>
      <c r="S261" s="147">
        <v>30000</v>
      </c>
      <c r="T261" s="110"/>
      <c r="U261" s="110"/>
      <c r="V261" s="152">
        <v>10000</v>
      </c>
      <c r="W261" s="152">
        <v>50147</v>
      </c>
      <c r="X261" s="256"/>
      <c r="Y261" s="263"/>
      <c r="Z261" s="263"/>
      <c r="AA261" s="263"/>
      <c r="AB261" s="263"/>
      <c r="AC261" s="263"/>
      <c r="AD261" s="263"/>
      <c r="AE261" s="263"/>
      <c r="AF261" s="263"/>
      <c r="AG261" s="263"/>
      <c r="AH261" s="263"/>
      <c r="AI261" s="263"/>
      <c r="AJ261" s="263"/>
      <c r="AK261" s="263"/>
      <c r="AL261" s="263"/>
      <c r="AM261" s="263"/>
      <c r="AN261" s="263"/>
      <c r="AO261" s="263"/>
      <c r="AP261" s="263"/>
      <c r="AQ261" s="263"/>
      <c r="AR261" s="263"/>
      <c r="AS261" s="263"/>
      <c r="AT261" s="263"/>
      <c r="AU261" s="263"/>
      <c r="AV261" s="263"/>
      <c r="AW261" s="263"/>
      <c r="AX261" s="263"/>
      <c r="AY261" s="263"/>
      <c r="AZ261" s="263"/>
      <c r="BA261" s="269"/>
      <c r="BB261" s="270"/>
      <c r="BC261" s="270"/>
      <c r="BD261" s="270"/>
      <c r="BE261" s="270"/>
      <c r="BF261" s="270"/>
    </row>
    <row r="262" spans="1:58" s="271" customFormat="1" ht="22.5" hidden="1">
      <c r="A262" s="234">
        <v>28</v>
      </c>
      <c r="B262" s="121" t="s">
        <v>34</v>
      </c>
      <c r="C262" s="121"/>
      <c r="D262" s="570" t="s">
        <v>471</v>
      </c>
      <c r="E262" s="51">
        <f t="shared" si="24"/>
        <v>44000</v>
      </c>
      <c r="F262" s="51">
        <f t="shared" si="25"/>
        <v>0</v>
      </c>
      <c r="G262" s="152">
        <v>0</v>
      </c>
      <c r="H262" s="110"/>
      <c r="I262" s="110"/>
      <c r="J262" s="110"/>
      <c r="K262" s="110"/>
      <c r="L262" s="51">
        <f t="shared" si="26"/>
        <v>44000</v>
      </c>
      <c r="M262" s="110"/>
      <c r="N262" s="152"/>
      <c r="O262" s="145">
        <v>44000</v>
      </c>
      <c r="P262" s="152"/>
      <c r="Q262" s="163"/>
      <c r="R262" s="152"/>
      <c r="S262" s="147"/>
      <c r="T262" s="110"/>
      <c r="U262" s="110"/>
      <c r="V262" s="152"/>
      <c r="W262" s="152"/>
      <c r="X262" s="256"/>
      <c r="Y262" s="263"/>
      <c r="Z262" s="263"/>
      <c r="AA262" s="263"/>
      <c r="AB262" s="263"/>
      <c r="AC262" s="263"/>
      <c r="AD262" s="263"/>
      <c r="AE262" s="263"/>
      <c r="AF262" s="263"/>
      <c r="AG262" s="263"/>
      <c r="AH262" s="263"/>
      <c r="AI262" s="263"/>
      <c r="AJ262" s="263"/>
      <c r="AK262" s="263"/>
      <c r="AL262" s="263"/>
      <c r="AM262" s="263"/>
      <c r="AN262" s="263"/>
      <c r="AO262" s="263"/>
      <c r="AP262" s="263"/>
      <c r="AQ262" s="263"/>
      <c r="AR262" s="263"/>
      <c r="AS262" s="263"/>
      <c r="AT262" s="263"/>
      <c r="AU262" s="263"/>
      <c r="AV262" s="263"/>
      <c r="AW262" s="263"/>
      <c r="AX262" s="263"/>
      <c r="AY262" s="263"/>
      <c r="AZ262" s="263"/>
      <c r="BA262" s="269"/>
      <c r="BB262" s="270"/>
      <c r="BC262" s="270"/>
      <c r="BD262" s="270"/>
      <c r="BE262" s="270"/>
      <c r="BF262" s="270"/>
    </row>
    <row r="263" spans="1:58" s="271" customFormat="1" hidden="1">
      <c r="A263" s="234">
        <v>29</v>
      </c>
      <c r="B263" s="121" t="s">
        <v>34</v>
      </c>
      <c r="C263" s="121"/>
      <c r="D263" s="570" t="s">
        <v>472</v>
      </c>
      <c r="E263" s="51">
        <f t="shared" si="24"/>
        <v>179900</v>
      </c>
      <c r="F263" s="51">
        <f t="shared" si="25"/>
        <v>0</v>
      </c>
      <c r="G263" s="152">
        <v>0</v>
      </c>
      <c r="H263" s="110"/>
      <c r="I263" s="110"/>
      <c r="J263" s="110"/>
      <c r="K263" s="110"/>
      <c r="L263" s="51">
        <f t="shared" si="26"/>
        <v>179900</v>
      </c>
      <c r="M263" s="110">
        <v>100000</v>
      </c>
      <c r="N263" s="152">
        <v>34000</v>
      </c>
      <c r="O263" s="145"/>
      <c r="P263" s="152"/>
      <c r="Q263" s="163">
        <v>0</v>
      </c>
      <c r="R263" s="152"/>
      <c r="S263" s="147"/>
      <c r="T263" s="110">
        <v>45900</v>
      </c>
      <c r="U263" s="110"/>
      <c r="V263" s="152"/>
      <c r="W263" s="152"/>
      <c r="X263" s="256"/>
      <c r="Y263" s="263"/>
      <c r="Z263" s="263"/>
      <c r="AA263" s="263"/>
      <c r="AB263" s="263"/>
      <c r="AC263" s="263"/>
      <c r="AD263" s="263"/>
      <c r="AE263" s="263"/>
      <c r="AF263" s="263"/>
      <c r="AG263" s="263"/>
      <c r="AH263" s="263"/>
      <c r="AI263" s="263"/>
      <c r="AJ263" s="263"/>
      <c r="AK263" s="263"/>
      <c r="AL263" s="263"/>
      <c r="AM263" s="263"/>
      <c r="AN263" s="263"/>
      <c r="AO263" s="263"/>
      <c r="AP263" s="263"/>
      <c r="AQ263" s="263"/>
      <c r="AR263" s="263"/>
      <c r="AS263" s="263"/>
      <c r="AT263" s="263"/>
      <c r="AU263" s="263"/>
      <c r="AV263" s="263"/>
      <c r="AW263" s="263"/>
      <c r="AX263" s="263"/>
      <c r="AY263" s="263"/>
      <c r="AZ263" s="263"/>
      <c r="BA263" s="269"/>
      <c r="BB263" s="270"/>
      <c r="BC263" s="270"/>
      <c r="BD263" s="270"/>
      <c r="BE263" s="270"/>
      <c r="BF263" s="270"/>
    </row>
    <row r="264" spans="1:58" s="271" customFormat="1" ht="22.5" hidden="1">
      <c r="A264" s="234">
        <v>30</v>
      </c>
      <c r="B264" s="121" t="s">
        <v>34</v>
      </c>
      <c r="C264" s="121"/>
      <c r="D264" s="106" t="s">
        <v>473</v>
      </c>
      <c r="E264" s="51">
        <f t="shared" si="24"/>
        <v>19200</v>
      </c>
      <c r="F264" s="51">
        <f t="shared" si="25"/>
        <v>0</v>
      </c>
      <c r="G264" s="152">
        <v>0</v>
      </c>
      <c r="H264" s="110"/>
      <c r="I264" s="110"/>
      <c r="J264" s="110"/>
      <c r="K264" s="110"/>
      <c r="L264" s="51">
        <f t="shared" si="26"/>
        <v>19200</v>
      </c>
      <c r="M264" s="110"/>
      <c r="N264" s="152"/>
      <c r="O264" s="145"/>
      <c r="P264" s="152"/>
      <c r="Q264" s="163"/>
      <c r="R264" s="152">
        <v>19200</v>
      </c>
      <c r="S264" s="147"/>
      <c r="T264" s="110"/>
      <c r="U264" s="110"/>
      <c r="V264" s="152"/>
      <c r="W264" s="152"/>
      <c r="X264" s="256"/>
      <c r="Y264" s="263"/>
      <c r="Z264" s="263"/>
      <c r="AA264" s="263"/>
      <c r="AB264" s="263"/>
      <c r="AC264" s="263"/>
      <c r="AD264" s="263"/>
      <c r="AE264" s="263"/>
      <c r="AF264" s="263"/>
      <c r="AG264" s="263"/>
      <c r="AH264" s="263"/>
      <c r="AI264" s="263"/>
      <c r="AJ264" s="263"/>
      <c r="AK264" s="263"/>
      <c r="AL264" s="263"/>
      <c r="AM264" s="263"/>
      <c r="AN264" s="263"/>
      <c r="AO264" s="263"/>
      <c r="AP264" s="263"/>
      <c r="AQ264" s="263"/>
      <c r="AR264" s="263"/>
      <c r="AS264" s="263"/>
      <c r="AT264" s="263"/>
      <c r="AU264" s="263"/>
      <c r="AV264" s="263"/>
      <c r="AW264" s="263"/>
      <c r="AX264" s="263"/>
      <c r="AY264" s="263"/>
      <c r="AZ264" s="263"/>
      <c r="BA264" s="269"/>
      <c r="BB264" s="270"/>
      <c r="BC264" s="270"/>
      <c r="BD264" s="270"/>
      <c r="BE264" s="270"/>
      <c r="BF264" s="270"/>
    </row>
    <row r="265" spans="1:58" s="275" customFormat="1" hidden="1">
      <c r="A265" s="272">
        <v>6</v>
      </c>
      <c r="B265" s="272" t="s">
        <v>572</v>
      </c>
      <c r="C265" s="272"/>
      <c r="D265" s="273" t="s">
        <v>559</v>
      </c>
      <c r="E265" s="130">
        <f t="shared" si="24"/>
        <v>16446264</v>
      </c>
      <c r="F265" s="130">
        <f t="shared" si="25"/>
        <v>6507702</v>
      </c>
      <c r="G265" s="274">
        <f>SUM(G266:G315)</f>
        <v>0</v>
      </c>
      <c r="H265" s="274">
        <f>SUM(H266:H315)</f>
        <v>0</v>
      </c>
      <c r="I265" s="274">
        <f>SUM(I266:I315)</f>
        <v>6507702</v>
      </c>
      <c r="J265" s="274">
        <f>SUM(J266:J315)</f>
        <v>0</v>
      </c>
      <c r="K265" s="274">
        <f>SUM(K266:K315)</f>
        <v>0</v>
      </c>
      <c r="L265" s="130">
        <f t="shared" si="26"/>
        <v>9938562</v>
      </c>
      <c r="M265" s="274">
        <f t="shared" ref="M265:X265" si="30">SUM(M266:M315)</f>
        <v>965276</v>
      </c>
      <c r="N265" s="274">
        <f t="shared" si="30"/>
        <v>332975</v>
      </c>
      <c r="O265" s="274">
        <f t="shared" si="30"/>
        <v>793760</v>
      </c>
      <c r="P265" s="274">
        <f t="shared" si="30"/>
        <v>1372854</v>
      </c>
      <c r="Q265" s="274">
        <f t="shared" si="30"/>
        <v>1094236</v>
      </c>
      <c r="R265" s="274">
        <f t="shared" si="30"/>
        <v>714553</v>
      </c>
      <c r="S265" s="274">
        <f t="shared" si="30"/>
        <v>1354521</v>
      </c>
      <c r="T265" s="274">
        <f t="shared" si="30"/>
        <v>855806</v>
      </c>
      <c r="U265" s="274">
        <f t="shared" si="30"/>
        <v>947364</v>
      </c>
      <c r="V265" s="274">
        <f t="shared" si="30"/>
        <v>441444</v>
      </c>
      <c r="W265" s="274">
        <f t="shared" si="30"/>
        <v>588399</v>
      </c>
      <c r="X265" s="274">
        <f t="shared" si="30"/>
        <v>477374</v>
      </c>
    </row>
    <row r="266" spans="1:58" s="266" customFormat="1" ht="21" hidden="1">
      <c r="A266" s="491" t="s">
        <v>249</v>
      </c>
      <c r="B266" s="492" t="s">
        <v>572</v>
      </c>
      <c r="C266" s="492"/>
      <c r="D266" s="493" t="s">
        <v>560</v>
      </c>
      <c r="E266" s="207">
        <f t="shared" ref="E266:E329" si="31">F266+L266</f>
        <v>0</v>
      </c>
      <c r="F266" s="207">
        <f t="shared" ref="F266:F329" si="32">SUM(G266:K266)</f>
        <v>0</v>
      </c>
      <c r="G266" s="125"/>
      <c r="H266" s="125"/>
      <c r="I266" s="276"/>
      <c r="J266" s="276"/>
      <c r="K266" s="276"/>
      <c r="L266" s="207">
        <f t="shared" ref="L266:L329" si="33">SUM(M266:X266)</f>
        <v>0</v>
      </c>
      <c r="M266" s="277"/>
      <c r="N266" s="277"/>
      <c r="O266" s="277"/>
      <c r="P266" s="277"/>
      <c r="Q266" s="277"/>
      <c r="R266" s="277"/>
      <c r="S266" s="277"/>
      <c r="T266" s="277"/>
      <c r="U266" s="277"/>
      <c r="V266" s="277"/>
      <c r="W266" s="277"/>
      <c r="X266" s="277"/>
    </row>
    <row r="267" spans="1:58" s="266" customFormat="1" ht="21" hidden="1">
      <c r="A267" s="494">
        <v>1</v>
      </c>
      <c r="B267" s="492" t="s">
        <v>572</v>
      </c>
      <c r="C267" s="492"/>
      <c r="D267" s="495" t="s">
        <v>148</v>
      </c>
      <c r="E267" s="207">
        <f t="shared" si="31"/>
        <v>0</v>
      </c>
      <c r="F267" s="207">
        <f t="shared" si="32"/>
        <v>0</v>
      </c>
      <c r="G267" s="125"/>
      <c r="H267" s="125"/>
      <c r="I267" s="278"/>
      <c r="J267" s="278"/>
      <c r="K267" s="278"/>
      <c r="L267" s="207">
        <f t="shared" si="33"/>
        <v>0</v>
      </c>
      <c r="M267" s="279"/>
      <c r="N267" s="279"/>
      <c r="O267" s="279"/>
      <c r="P267" s="279"/>
      <c r="Q267" s="279"/>
      <c r="R267" s="279"/>
      <c r="S267" s="279"/>
      <c r="T267" s="279"/>
      <c r="U267" s="279"/>
      <c r="V267" s="279"/>
      <c r="W267" s="279"/>
      <c r="X267" s="279"/>
    </row>
    <row r="268" spans="1:58" s="283" customFormat="1" hidden="1">
      <c r="A268" s="496" t="s">
        <v>147</v>
      </c>
      <c r="B268" s="497" t="s">
        <v>572</v>
      </c>
      <c r="C268" s="497"/>
      <c r="D268" s="498" t="s">
        <v>149</v>
      </c>
      <c r="E268" s="188">
        <f t="shared" si="31"/>
        <v>4478400</v>
      </c>
      <c r="F268" s="188">
        <f t="shared" si="32"/>
        <v>0</v>
      </c>
      <c r="G268" s="124"/>
      <c r="H268" s="124"/>
      <c r="I268" s="124"/>
      <c r="J268" s="124"/>
      <c r="K268" s="124"/>
      <c r="L268" s="188">
        <f t="shared" si="33"/>
        <v>4478400</v>
      </c>
      <c r="M268" s="280">
        <v>540000</v>
      </c>
      <c r="N268" s="281">
        <v>68400</v>
      </c>
      <c r="O268" s="281">
        <f>318600+2400</f>
        <v>321000</v>
      </c>
      <c r="P268" s="281">
        <v>597600</v>
      </c>
      <c r="Q268" s="282">
        <v>531000</v>
      </c>
      <c r="R268" s="281">
        <v>197400</v>
      </c>
      <c r="S268" s="313">
        <v>621000</v>
      </c>
      <c r="T268" s="281">
        <v>509400</v>
      </c>
      <c r="U268" s="284">
        <v>495000</v>
      </c>
      <c r="V268" s="313">
        <v>169200</v>
      </c>
      <c r="W268" s="281">
        <v>223200</v>
      </c>
      <c r="X268" s="313">
        <v>205200</v>
      </c>
    </row>
    <row r="269" spans="1:58" s="283" customFormat="1" hidden="1">
      <c r="A269" s="496" t="s">
        <v>150</v>
      </c>
      <c r="B269" s="497" t="s">
        <v>572</v>
      </c>
      <c r="C269" s="497"/>
      <c r="D269" s="498" t="s">
        <v>151</v>
      </c>
      <c r="E269" s="188">
        <f t="shared" si="31"/>
        <v>1148065</v>
      </c>
      <c r="F269" s="188">
        <f t="shared" si="32"/>
        <v>0</v>
      </c>
      <c r="G269" s="124"/>
      <c r="H269" s="124"/>
      <c r="I269" s="124"/>
      <c r="J269" s="124"/>
      <c r="K269" s="124"/>
      <c r="L269" s="188">
        <f t="shared" si="33"/>
        <v>1148065</v>
      </c>
      <c r="M269" s="280">
        <f>7330+1036</f>
        <v>8366</v>
      </c>
      <c r="N269" s="284">
        <v>58600</v>
      </c>
      <c r="O269" s="281">
        <v>80000</v>
      </c>
      <c r="P269" s="281">
        <v>162534</v>
      </c>
      <c r="Q269" s="285">
        <v>120000</v>
      </c>
      <c r="R269" s="281">
        <v>172323</v>
      </c>
      <c r="S269" s="313">
        <v>207571</v>
      </c>
      <c r="T269" s="286">
        <v>58746</v>
      </c>
      <c r="U269" s="284">
        <v>74644</v>
      </c>
      <c r="V269" s="313">
        <v>50914</v>
      </c>
      <c r="W269" s="281">
        <v>103453</v>
      </c>
      <c r="X269" s="313">
        <v>50914</v>
      </c>
    </row>
    <row r="270" spans="1:58" s="283" customFormat="1" hidden="1">
      <c r="A270" s="496" t="s">
        <v>289</v>
      </c>
      <c r="B270" s="497" t="s">
        <v>572</v>
      </c>
      <c r="C270" s="497"/>
      <c r="D270" s="498" t="s">
        <v>297</v>
      </c>
      <c r="E270" s="188">
        <f t="shared" si="31"/>
        <v>0</v>
      </c>
      <c r="F270" s="188">
        <f t="shared" si="32"/>
        <v>0</v>
      </c>
      <c r="G270" s="124"/>
      <c r="H270" s="124"/>
      <c r="I270" s="124"/>
      <c r="J270" s="124"/>
      <c r="K270" s="124"/>
      <c r="L270" s="188">
        <f t="shared" si="33"/>
        <v>0</v>
      </c>
      <c r="M270" s="280"/>
      <c r="N270" s="281"/>
      <c r="O270" s="281"/>
      <c r="P270" s="281"/>
      <c r="Q270" s="287"/>
      <c r="R270" s="281"/>
      <c r="S270" s="313"/>
      <c r="T270" s="286">
        <v>0</v>
      </c>
      <c r="U270" s="284"/>
      <c r="V270" s="313"/>
      <c r="W270" s="281"/>
      <c r="X270" s="313"/>
    </row>
    <row r="271" spans="1:58" s="283" customFormat="1" ht="22.5" hidden="1">
      <c r="A271" s="496" t="s">
        <v>152</v>
      </c>
      <c r="B271" s="497" t="s">
        <v>572</v>
      </c>
      <c r="C271" s="497"/>
      <c r="D271" s="498" t="s">
        <v>272</v>
      </c>
      <c r="E271" s="188">
        <f t="shared" si="31"/>
        <v>293727</v>
      </c>
      <c r="F271" s="188">
        <f t="shared" si="32"/>
        <v>0</v>
      </c>
      <c r="G271" s="124"/>
      <c r="H271" s="124"/>
      <c r="I271" s="124"/>
      <c r="J271" s="124"/>
      <c r="K271" s="124"/>
      <c r="L271" s="188">
        <f t="shared" si="33"/>
        <v>293727</v>
      </c>
      <c r="M271" s="280">
        <f>9000+2100+7100</f>
        <v>18200</v>
      </c>
      <c r="N271" s="281">
        <v>3207</v>
      </c>
      <c r="O271" s="281">
        <f>14000+12600+20000</f>
        <v>46600</v>
      </c>
      <c r="P271" s="281">
        <v>70500</v>
      </c>
      <c r="Q271" s="285">
        <v>25000</v>
      </c>
      <c r="R271" s="281">
        <v>10080</v>
      </c>
      <c r="S271" s="313">
        <v>21000</v>
      </c>
      <c r="T271" s="286">
        <v>13860</v>
      </c>
      <c r="U271" s="284">
        <v>27820</v>
      </c>
      <c r="V271" s="313">
        <v>11340</v>
      </c>
      <c r="W271" s="281">
        <f>16100+7080+11000+600</f>
        <v>34780</v>
      </c>
      <c r="X271" s="313">
        <v>11340</v>
      </c>
    </row>
    <row r="272" spans="1:58" s="283" customFormat="1" ht="22.5" hidden="1">
      <c r="A272" s="496" t="s">
        <v>154</v>
      </c>
      <c r="B272" s="497" t="s">
        <v>572</v>
      </c>
      <c r="C272" s="497"/>
      <c r="D272" s="498" t="s">
        <v>153</v>
      </c>
      <c r="E272" s="188">
        <f t="shared" si="31"/>
        <v>72400</v>
      </c>
      <c r="F272" s="188">
        <f t="shared" si="32"/>
        <v>47000</v>
      </c>
      <c r="G272" s="124"/>
      <c r="H272" s="124"/>
      <c r="I272" s="124">
        <v>47000</v>
      </c>
      <c r="J272" s="124"/>
      <c r="K272" s="124"/>
      <c r="L272" s="188">
        <f t="shared" si="33"/>
        <v>25400</v>
      </c>
      <c r="M272" s="280">
        <v>2000</v>
      </c>
      <c r="N272" s="284">
        <v>2000</v>
      </c>
      <c r="O272" s="281">
        <v>2000</v>
      </c>
      <c r="P272" s="281">
        <v>2000</v>
      </c>
      <c r="Q272" s="285">
        <v>2000</v>
      </c>
      <c r="R272" s="281">
        <v>2000</v>
      </c>
      <c r="S272" s="313">
        <v>2000</v>
      </c>
      <c r="T272" s="286">
        <v>2000</v>
      </c>
      <c r="U272" s="284">
        <v>2000</v>
      </c>
      <c r="V272" s="313">
        <v>2000</v>
      </c>
      <c r="W272" s="281">
        <v>3400</v>
      </c>
      <c r="X272" s="313">
        <v>2000</v>
      </c>
    </row>
    <row r="273" spans="1:24" s="283" customFormat="1" ht="22.5" hidden="1">
      <c r="A273" s="496" t="s">
        <v>155</v>
      </c>
      <c r="B273" s="497" t="s">
        <v>572</v>
      </c>
      <c r="C273" s="497"/>
      <c r="D273" s="498" t="s">
        <v>273</v>
      </c>
      <c r="E273" s="188">
        <f t="shared" si="31"/>
        <v>1197017</v>
      </c>
      <c r="F273" s="188">
        <f t="shared" si="32"/>
        <v>1055500</v>
      </c>
      <c r="G273" s="124"/>
      <c r="H273" s="124"/>
      <c r="I273" s="124">
        <v>1055500</v>
      </c>
      <c r="J273" s="124"/>
      <c r="K273" s="124"/>
      <c r="L273" s="188">
        <f t="shared" si="33"/>
        <v>141517</v>
      </c>
      <c r="M273" s="280">
        <v>26000</v>
      </c>
      <c r="N273" s="284">
        <v>7817</v>
      </c>
      <c r="O273" s="281">
        <v>3000</v>
      </c>
      <c r="P273" s="281">
        <v>13000</v>
      </c>
      <c r="Q273" s="285">
        <v>14000</v>
      </c>
      <c r="R273" s="281">
        <v>7000</v>
      </c>
      <c r="S273" s="313">
        <v>17000</v>
      </c>
      <c r="T273" s="286">
        <v>9800</v>
      </c>
      <c r="U273" s="284">
        <v>18000</v>
      </c>
      <c r="V273" s="313">
        <v>8100</v>
      </c>
      <c r="W273" s="281">
        <f>3700+6000</f>
        <v>9700</v>
      </c>
      <c r="X273" s="313">
        <v>8100</v>
      </c>
    </row>
    <row r="274" spans="1:24" s="283" customFormat="1" ht="22.5" hidden="1">
      <c r="A274" s="496" t="s">
        <v>157</v>
      </c>
      <c r="B274" s="497" t="s">
        <v>572</v>
      </c>
      <c r="C274" s="497"/>
      <c r="D274" s="498" t="s">
        <v>158</v>
      </c>
      <c r="E274" s="188">
        <f t="shared" si="31"/>
        <v>53060</v>
      </c>
      <c r="F274" s="188">
        <f t="shared" si="32"/>
        <v>53060</v>
      </c>
      <c r="G274" s="124"/>
      <c r="H274" s="124"/>
      <c r="I274" s="124">
        <v>53060</v>
      </c>
      <c r="J274" s="124"/>
      <c r="K274" s="124"/>
      <c r="L274" s="188">
        <f t="shared" si="33"/>
        <v>0</v>
      </c>
      <c r="M274" s="280"/>
      <c r="N274" s="284"/>
      <c r="O274" s="281"/>
      <c r="P274" s="281"/>
      <c r="Q274" s="285"/>
      <c r="R274" s="281"/>
      <c r="S274" s="313"/>
      <c r="T274" s="286">
        <v>0</v>
      </c>
      <c r="U274" s="499"/>
      <c r="V274" s="313"/>
      <c r="W274" s="281"/>
      <c r="X274" s="313"/>
    </row>
    <row r="275" spans="1:24" s="283" customFormat="1" ht="33.75" hidden="1">
      <c r="A275" s="496" t="s">
        <v>159</v>
      </c>
      <c r="B275" s="497" t="s">
        <v>572</v>
      </c>
      <c r="C275" s="497"/>
      <c r="D275" s="498" t="s">
        <v>160</v>
      </c>
      <c r="E275" s="188">
        <f t="shared" si="31"/>
        <v>37040</v>
      </c>
      <c r="F275" s="188">
        <f t="shared" si="32"/>
        <v>37040</v>
      </c>
      <c r="G275" s="124"/>
      <c r="H275" s="124"/>
      <c r="I275" s="124">
        <v>37040</v>
      </c>
      <c r="J275" s="124"/>
      <c r="K275" s="124"/>
      <c r="L275" s="188">
        <f t="shared" si="33"/>
        <v>0</v>
      </c>
      <c r="M275" s="280"/>
      <c r="N275" s="281"/>
      <c r="O275" s="281"/>
      <c r="P275" s="281"/>
      <c r="Q275" s="285"/>
      <c r="R275" s="281"/>
      <c r="S275" s="313"/>
      <c r="T275" s="286">
        <v>0</v>
      </c>
      <c r="U275" s="499"/>
      <c r="V275" s="313"/>
      <c r="W275" s="281"/>
      <c r="X275" s="313"/>
    </row>
    <row r="276" spans="1:24" s="283" customFormat="1" hidden="1">
      <c r="A276" s="496" t="s">
        <v>161</v>
      </c>
      <c r="B276" s="497" t="s">
        <v>572</v>
      </c>
      <c r="C276" s="497"/>
      <c r="D276" s="500" t="s">
        <v>162</v>
      </c>
      <c r="E276" s="188">
        <f t="shared" si="31"/>
        <v>424988</v>
      </c>
      <c r="F276" s="188">
        <f t="shared" si="32"/>
        <v>328552</v>
      </c>
      <c r="G276" s="124"/>
      <c r="H276" s="124"/>
      <c r="I276" s="124">
        <v>328552</v>
      </c>
      <c r="J276" s="124"/>
      <c r="K276" s="124"/>
      <c r="L276" s="188">
        <f t="shared" si="33"/>
        <v>96436</v>
      </c>
      <c r="M276" s="280">
        <v>19500</v>
      </c>
      <c r="N276" s="281">
        <v>12036</v>
      </c>
      <c r="O276" s="281">
        <v>20000</v>
      </c>
      <c r="P276" s="281">
        <v>21850</v>
      </c>
      <c r="Q276" s="285">
        <v>20000</v>
      </c>
      <c r="R276" s="281">
        <v>3050</v>
      </c>
      <c r="S276" s="313"/>
      <c r="T276" s="286">
        <v>0</v>
      </c>
      <c r="U276" s="243"/>
      <c r="V276" s="313"/>
      <c r="W276" s="281"/>
      <c r="X276" s="313"/>
    </row>
    <row r="277" spans="1:24" s="266" customFormat="1" ht="45" hidden="1">
      <c r="A277" s="496" t="s">
        <v>298</v>
      </c>
      <c r="B277" s="497" t="s">
        <v>572</v>
      </c>
      <c r="C277" s="554"/>
      <c r="D277" s="288" t="s">
        <v>156</v>
      </c>
      <c r="E277" s="188">
        <f t="shared" si="31"/>
        <v>140000</v>
      </c>
      <c r="F277" s="188">
        <f t="shared" si="32"/>
        <v>0</v>
      </c>
      <c r="G277" s="124"/>
      <c r="H277" s="124"/>
      <c r="I277" s="124"/>
      <c r="J277" s="124"/>
      <c r="K277" s="124"/>
      <c r="L277" s="188">
        <f t="shared" si="33"/>
        <v>140000</v>
      </c>
      <c r="M277" s="289"/>
      <c r="N277" s="290">
        <v>10000</v>
      </c>
      <c r="O277" s="290">
        <v>30000</v>
      </c>
      <c r="P277" s="290">
        <v>20000</v>
      </c>
      <c r="Q277" s="291">
        <v>30000</v>
      </c>
      <c r="R277" s="290">
        <v>30000</v>
      </c>
      <c r="S277" s="501">
        <v>20000</v>
      </c>
      <c r="T277" s="292">
        <v>0</v>
      </c>
      <c r="U277" s="502"/>
      <c r="V277" s="501"/>
      <c r="W277" s="290"/>
      <c r="X277" s="501"/>
    </row>
    <row r="278" spans="1:24" s="266" customFormat="1" hidden="1">
      <c r="A278" s="496" t="s">
        <v>563</v>
      </c>
      <c r="B278" s="497" t="s">
        <v>572</v>
      </c>
      <c r="C278" s="497"/>
      <c r="D278" s="293" t="s">
        <v>290</v>
      </c>
      <c r="E278" s="188">
        <f t="shared" si="31"/>
        <v>0</v>
      </c>
      <c r="F278" s="188">
        <f t="shared" si="32"/>
        <v>0</v>
      </c>
      <c r="G278" s="124"/>
      <c r="H278" s="124"/>
      <c r="I278" s="124"/>
      <c r="J278" s="124"/>
      <c r="K278" s="124"/>
      <c r="L278" s="188">
        <f t="shared" si="33"/>
        <v>0</v>
      </c>
      <c r="M278" s="294"/>
      <c r="N278" s="294"/>
      <c r="O278" s="294"/>
      <c r="P278" s="294"/>
      <c r="Q278" s="294"/>
      <c r="R278" s="294"/>
      <c r="S278" s="294"/>
      <c r="T278" s="294"/>
      <c r="U278" s="294"/>
      <c r="V278" s="294"/>
      <c r="W278" s="294"/>
      <c r="X278" s="294"/>
    </row>
    <row r="279" spans="1:24" s="266" customFormat="1" hidden="1">
      <c r="A279" s="503"/>
      <c r="B279" s="497" t="s">
        <v>572</v>
      </c>
      <c r="C279" s="497"/>
      <c r="D279" s="293" t="s">
        <v>292</v>
      </c>
      <c r="E279" s="188">
        <f t="shared" si="31"/>
        <v>720000</v>
      </c>
      <c r="F279" s="188">
        <f t="shared" si="32"/>
        <v>64000</v>
      </c>
      <c r="G279" s="124"/>
      <c r="H279" s="124"/>
      <c r="I279" s="124">
        <v>64000</v>
      </c>
      <c r="J279" s="124"/>
      <c r="K279" s="124"/>
      <c r="L279" s="188">
        <f t="shared" si="33"/>
        <v>656000</v>
      </c>
      <c r="M279" s="294">
        <v>32000</v>
      </c>
      <c r="N279" s="295">
        <v>24000</v>
      </c>
      <c r="O279" s="295">
        <v>48000</v>
      </c>
      <c r="P279" s="295">
        <v>60000</v>
      </c>
      <c r="Q279" s="296">
        <v>68800</v>
      </c>
      <c r="R279" s="296">
        <v>72000</v>
      </c>
      <c r="S279" s="295">
        <v>92000</v>
      </c>
      <c r="T279" s="296">
        <v>48000</v>
      </c>
      <c r="U279" s="499">
        <v>88000</v>
      </c>
      <c r="V279" s="296">
        <v>40000</v>
      </c>
      <c r="W279" s="295">
        <v>43200</v>
      </c>
      <c r="X279" s="296">
        <v>40000</v>
      </c>
    </row>
    <row r="280" spans="1:24" s="266" customFormat="1" hidden="1">
      <c r="A280" s="503"/>
      <c r="B280" s="497" t="s">
        <v>572</v>
      </c>
      <c r="C280" s="497"/>
      <c r="D280" s="293" t="s">
        <v>291</v>
      </c>
      <c r="E280" s="188">
        <f t="shared" si="31"/>
        <v>1280000</v>
      </c>
      <c r="F280" s="188">
        <f t="shared" si="32"/>
        <v>60300</v>
      </c>
      <c r="G280" s="124"/>
      <c r="H280" s="124"/>
      <c r="I280" s="124">
        <v>60300</v>
      </c>
      <c r="J280" s="124"/>
      <c r="K280" s="124"/>
      <c r="L280" s="188">
        <f t="shared" si="33"/>
        <v>1219700</v>
      </c>
      <c r="M280" s="294">
        <v>77550</v>
      </c>
      <c r="N280" s="295">
        <v>78400</v>
      </c>
      <c r="O280" s="295">
        <v>108900</v>
      </c>
      <c r="P280" s="295">
        <v>149200</v>
      </c>
      <c r="Q280" s="296">
        <v>126800</v>
      </c>
      <c r="R280" s="296">
        <v>121600</v>
      </c>
      <c r="S280" s="295">
        <v>174500</v>
      </c>
      <c r="T280" s="296">
        <v>82000</v>
      </c>
      <c r="U280" s="499">
        <v>134800</v>
      </c>
      <c r="V280" s="296">
        <v>53500</v>
      </c>
      <c r="W280" s="295">
        <v>59950</v>
      </c>
      <c r="X280" s="296">
        <v>52500</v>
      </c>
    </row>
    <row r="281" spans="1:24" s="299" customFormat="1" ht="22.5" hidden="1">
      <c r="A281" s="504" t="s">
        <v>564</v>
      </c>
      <c r="B281" s="272" t="s">
        <v>572</v>
      </c>
      <c r="C281" s="272"/>
      <c r="D281" s="505" t="s">
        <v>173</v>
      </c>
      <c r="E281" s="51">
        <f t="shared" si="31"/>
        <v>0</v>
      </c>
      <c r="F281" s="51">
        <f t="shared" si="32"/>
        <v>0</v>
      </c>
      <c r="G281" s="297"/>
      <c r="H281" s="297"/>
      <c r="I281" s="297"/>
      <c r="J281" s="297"/>
      <c r="K281" s="297"/>
      <c r="L281" s="51">
        <f t="shared" si="33"/>
        <v>0</v>
      </c>
      <c r="M281" s="298"/>
      <c r="N281" s="298"/>
      <c r="O281" s="298"/>
      <c r="P281" s="298"/>
      <c r="Q281" s="298"/>
      <c r="R281" s="298"/>
      <c r="S281" s="298"/>
      <c r="T281" s="298"/>
      <c r="U281" s="298"/>
      <c r="V281" s="298"/>
      <c r="W281" s="298"/>
      <c r="X281" s="298"/>
    </row>
    <row r="282" spans="1:24" s="266" customFormat="1" ht="22.5" hidden="1">
      <c r="A282" s="506" t="s">
        <v>166</v>
      </c>
      <c r="B282" s="497" t="s">
        <v>572</v>
      </c>
      <c r="C282" s="497"/>
      <c r="D282" s="507" t="s">
        <v>174</v>
      </c>
      <c r="E282" s="188">
        <f t="shared" si="31"/>
        <v>350075</v>
      </c>
      <c r="F282" s="188">
        <f t="shared" si="32"/>
        <v>0</v>
      </c>
      <c r="G282" s="124"/>
      <c r="H282" s="124"/>
      <c r="I282" s="124"/>
      <c r="J282" s="124"/>
      <c r="K282" s="124"/>
      <c r="L282" s="188">
        <f t="shared" si="33"/>
        <v>350075</v>
      </c>
      <c r="M282" s="280">
        <f>14400+8640</f>
        <v>23040</v>
      </c>
      <c r="N282" s="307">
        <v>20935</v>
      </c>
      <c r="O282" s="281">
        <v>13500</v>
      </c>
      <c r="P282" s="300">
        <v>47500</v>
      </c>
      <c r="Q282" s="285">
        <f>12800+16000</f>
        <v>28800</v>
      </c>
      <c r="R282" s="281">
        <v>25800</v>
      </c>
      <c r="S282" s="284">
        <v>59900</v>
      </c>
      <c r="T282" s="286">
        <v>34100</v>
      </c>
      <c r="U282" s="281">
        <v>22400</v>
      </c>
      <c r="V282" s="284">
        <v>29000</v>
      </c>
      <c r="W282" s="281">
        <v>16100</v>
      </c>
      <c r="X282" s="284">
        <v>29000</v>
      </c>
    </row>
    <row r="283" spans="1:24" s="1" customFormat="1" ht="22.5" hidden="1">
      <c r="A283" s="506" t="s">
        <v>172</v>
      </c>
      <c r="B283" s="497" t="s">
        <v>572</v>
      </c>
      <c r="C283" s="497"/>
      <c r="D283" s="507" t="s">
        <v>175</v>
      </c>
      <c r="E283" s="188">
        <f t="shared" si="31"/>
        <v>98000</v>
      </c>
      <c r="F283" s="188">
        <f t="shared" si="32"/>
        <v>98000</v>
      </c>
      <c r="G283" s="124"/>
      <c r="H283" s="124"/>
      <c r="I283" s="124">
        <v>98000</v>
      </c>
      <c r="J283" s="124"/>
      <c r="K283" s="124"/>
      <c r="L283" s="188">
        <f t="shared" si="33"/>
        <v>0</v>
      </c>
      <c r="M283" s="280"/>
      <c r="N283" s="281"/>
      <c r="O283" s="281"/>
      <c r="P283" s="300"/>
      <c r="Q283" s="246"/>
      <c r="R283" s="281"/>
      <c r="S283" s="284"/>
      <c r="T283" s="286">
        <v>0</v>
      </c>
      <c r="U283" s="313"/>
      <c r="V283" s="284"/>
      <c r="W283" s="281"/>
      <c r="X283" s="284"/>
    </row>
    <row r="284" spans="1:24" s="266" customFormat="1" ht="45" hidden="1">
      <c r="A284" s="506" t="s">
        <v>566</v>
      </c>
      <c r="B284" s="497" t="s">
        <v>572</v>
      </c>
      <c r="C284" s="497"/>
      <c r="D284" s="507" t="s">
        <v>176</v>
      </c>
      <c r="E284" s="188">
        <f t="shared" si="31"/>
        <v>61200</v>
      </c>
      <c r="F284" s="188">
        <f t="shared" si="32"/>
        <v>61200</v>
      </c>
      <c r="G284" s="124"/>
      <c r="H284" s="124"/>
      <c r="I284" s="124">
        <v>61200</v>
      </c>
      <c r="J284" s="124"/>
      <c r="K284" s="124"/>
      <c r="L284" s="188">
        <f t="shared" si="33"/>
        <v>0</v>
      </c>
      <c r="M284" s="280"/>
      <c r="N284" s="307"/>
      <c r="O284" s="281"/>
      <c r="P284" s="281"/>
      <c r="Q284" s="246"/>
      <c r="R284" s="281"/>
      <c r="S284" s="284"/>
      <c r="T284" s="286">
        <v>0</v>
      </c>
      <c r="U284" s="499"/>
      <c r="V284" s="284"/>
      <c r="W284" s="281"/>
      <c r="X284" s="284"/>
    </row>
    <row r="285" spans="1:24" s="301" customFormat="1" ht="22.5" hidden="1">
      <c r="A285" s="506" t="s">
        <v>567</v>
      </c>
      <c r="B285" s="497" t="s">
        <v>572</v>
      </c>
      <c r="C285" s="497"/>
      <c r="D285" s="507" t="s">
        <v>177</v>
      </c>
      <c r="E285" s="188">
        <f t="shared" si="31"/>
        <v>11000</v>
      </c>
      <c r="F285" s="188">
        <f t="shared" si="32"/>
        <v>11000</v>
      </c>
      <c r="G285" s="124"/>
      <c r="H285" s="124"/>
      <c r="I285" s="124">
        <v>11000</v>
      </c>
      <c r="J285" s="124"/>
      <c r="K285" s="124"/>
      <c r="L285" s="188">
        <f t="shared" si="33"/>
        <v>0</v>
      </c>
      <c r="M285" s="280"/>
      <c r="N285" s="281"/>
      <c r="O285" s="281"/>
      <c r="P285" s="300"/>
      <c r="Q285" s="246"/>
      <c r="R285" s="281"/>
      <c r="S285" s="284"/>
      <c r="T285" s="286">
        <v>0</v>
      </c>
      <c r="U285" s="499"/>
      <c r="V285" s="284"/>
      <c r="W285" s="281"/>
      <c r="X285" s="284"/>
    </row>
    <row r="286" spans="1:24" s="266" customFormat="1" ht="33.75" hidden="1">
      <c r="A286" s="506" t="s">
        <v>568</v>
      </c>
      <c r="B286" s="497" t="s">
        <v>572</v>
      </c>
      <c r="C286" s="497"/>
      <c r="D286" s="507" t="s">
        <v>178</v>
      </c>
      <c r="E286" s="188">
        <f t="shared" si="31"/>
        <v>150000</v>
      </c>
      <c r="F286" s="188">
        <f t="shared" si="32"/>
        <v>150000</v>
      </c>
      <c r="G286" s="124"/>
      <c r="H286" s="124"/>
      <c r="I286" s="124">
        <v>150000</v>
      </c>
      <c r="J286" s="124"/>
      <c r="K286" s="124"/>
      <c r="L286" s="188">
        <f t="shared" si="33"/>
        <v>0</v>
      </c>
      <c r="M286" s="280"/>
      <c r="N286" s="281"/>
      <c r="O286" s="281"/>
      <c r="P286" s="300"/>
      <c r="Q286" s="246"/>
      <c r="R286" s="281"/>
      <c r="S286" s="284"/>
      <c r="T286" s="286">
        <v>0</v>
      </c>
      <c r="U286" s="499"/>
      <c r="V286" s="284"/>
      <c r="W286" s="281"/>
      <c r="X286" s="284"/>
    </row>
    <row r="287" spans="1:24" s="266" customFormat="1" ht="22.5" hidden="1">
      <c r="A287" s="506" t="s">
        <v>569</v>
      </c>
      <c r="B287" s="497" t="s">
        <v>572</v>
      </c>
      <c r="C287" s="497"/>
      <c r="D287" s="507" t="s">
        <v>179</v>
      </c>
      <c r="E287" s="188">
        <f t="shared" si="31"/>
        <v>134000</v>
      </c>
      <c r="F287" s="188">
        <f t="shared" si="32"/>
        <v>120000</v>
      </c>
      <c r="G287" s="124"/>
      <c r="H287" s="124"/>
      <c r="I287" s="124">
        <v>120000</v>
      </c>
      <c r="J287" s="124"/>
      <c r="K287" s="124"/>
      <c r="L287" s="188">
        <f t="shared" si="33"/>
        <v>14000</v>
      </c>
      <c r="M287" s="280">
        <v>4000</v>
      </c>
      <c r="N287" s="281"/>
      <c r="O287" s="281"/>
      <c r="P287" s="300"/>
      <c r="Q287" s="280">
        <v>10000</v>
      </c>
      <c r="R287" s="281"/>
      <c r="S287" s="284"/>
      <c r="T287" s="286">
        <v>0</v>
      </c>
      <c r="U287" s="499"/>
      <c r="V287" s="284"/>
      <c r="W287" s="281"/>
      <c r="X287" s="284"/>
    </row>
    <row r="288" spans="1:24" s="266" customFormat="1" ht="45" hidden="1">
      <c r="A288" s="506" t="s">
        <v>570</v>
      </c>
      <c r="B288" s="497" t="s">
        <v>572</v>
      </c>
      <c r="C288" s="497"/>
      <c r="D288" s="507" t="s">
        <v>180</v>
      </c>
      <c r="E288" s="188">
        <f t="shared" si="31"/>
        <v>45000</v>
      </c>
      <c r="F288" s="188">
        <f t="shared" si="32"/>
        <v>45000</v>
      </c>
      <c r="G288" s="124"/>
      <c r="H288" s="124"/>
      <c r="I288" s="124">
        <v>45000</v>
      </c>
      <c r="J288" s="124"/>
      <c r="K288" s="124"/>
      <c r="L288" s="188">
        <f t="shared" si="33"/>
        <v>0</v>
      </c>
      <c r="M288" s="280"/>
      <c r="N288" s="281"/>
      <c r="O288" s="281"/>
      <c r="P288" s="300"/>
      <c r="Q288" s="280"/>
      <c r="R288" s="281"/>
      <c r="S288" s="284"/>
      <c r="T288" s="286">
        <v>0</v>
      </c>
      <c r="U288" s="499"/>
      <c r="V288" s="284"/>
      <c r="W288" s="281"/>
      <c r="X288" s="284"/>
    </row>
    <row r="289" spans="1:24" s="266" customFormat="1" ht="22.5" hidden="1">
      <c r="A289" s="506" t="s">
        <v>571</v>
      </c>
      <c r="B289" s="497" t="s">
        <v>572</v>
      </c>
      <c r="C289" s="497"/>
      <c r="D289" s="507" t="s">
        <v>181</v>
      </c>
      <c r="E289" s="188">
        <f t="shared" si="31"/>
        <v>56000</v>
      </c>
      <c r="F289" s="188">
        <f t="shared" si="32"/>
        <v>31000</v>
      </c>
      <c r="G289" s="124"/>
      <c r="H289" s="124"/>
      <c r="I289" s="124">
        <v>31000</v>
      </c>
      <c r="J289" s="124"/>
      <c r="K289" s="124"/>
      <c r="L289" s="188">
        <f t="shared" si="33"/>
        <v>25000</v>
      </c>
      <c r="M289" s="280">
        <v>3000</v>
      </c>
      <c r="N289" s="307">
        <v>2000</v>
      </c>
      <c r="O289" s="281">
        <v>2000</v>
      </c>
      <c r="P289" s="300">
        <v>2000</v>
      </c>
      <c r="Q289" s="280">
        <v>2000</v>
      </c>
      <c r="R289" s="281">
        <v>2000</v>
      </c>
      <c r="S289" s="284">
        <v>2000</v>
      </c>
      <c r="T289" s="286">
        <v>2000</v>
      </c>
      <c r="U289" s="284">
        <v>2000</v>
      </c>
      <c r="V289" s="284">
        <v>2000</v>
      </c>
      <c r="W289" s="284">
        <v>2000</v>
      </c>
      <c r="X289" s="284">
        <v>2000</v>
      </c>
    </row>
    <row r="290" spans="1:24" s="304" customFormat="1" hidden="1">
      <c r="A290" s="508" t="s">
        <v>258</v>
      </c>
      <c r="B290" s="272" t="s">
        <v>572</v>
      </c>
      <c r="C290" s="272"/>
      <c r="D290" s="509" t="s">
        <v>561</v>
      </c>
      <c r="E290" s="51">
        <f t="shared" si="31"/>
        <v>0</v>
      </c>
      <c r="F290" s="51">
        <f t="shared" si="32"/>
        <v>0</v>
      </c>
      <c r="G290" s="297"/>
      <c r="H290" s="297"/>
      <c r="I290" s="302"/>
      <c r="J290" s="302"/>
      <c r="K290" s="302"/>
      <c r="L290" s="51">
        <f t="shared" si="33"/>
        <v>0</v>
      </c>
      <c r="M290" s="303"/>
      <c r="N290" s="303"/>
      <c r="O290" s="303"/>
      <c r="P290" s="303"/>
      <c r="Q290" s="303"/>
      <c r="R290" s="303"/>
      <c r="S290" s="303"/>
      <c r="T290" s="303"/>
      <c r="U290" s="303"/>
      <c r="V290" s="303"/>
      <c r="W290" s="303"/>
      <c r="X290" s="303"/>
    </row>
    <row r="291" spans="1:24" s="305" customFormat="1" ht="22.5" hidden="1">
      <c r="A291" s="510">
        <v>1</v>
      </c>
      <c r="B291" s="272" t="s">
        <v>572</v>
      </c>
      <c r="C291" s="272"/>
      <c r="D291" s="505" t="s">
        <v>163</v>
      </c>
      <c r="E291" s="51">
        <f t="shared" si="31"/>
        <v>0</v>
      </c>
      <c r="F291" s="51">
        <f t="shared" si="32"/>
        <v>0</v>
      </c>
      <c r="G291" s="297"/>
      <c r="H291" s="297"/>
      <c r="I291" s="297"/>
      <c r="J291" s="297"/>
      <c r="K291" s="297"/>
      <c r="L291" s="51">
        <f t="shared" si="33"/>
        <v>0</v>
      </c>
      <c r="M291" s="298"/>
      <c r="N291" s="298"/>
      <c r="O291" s="298"/>
      <c r="P291" s="298"/>
      <c r="Q291" s="298"/>
      <c r="R291" s="298"/>
      <c r="S291" s="298"/>
      <c r="T291" s="298"/>
      <c r="U291" s="298"/>
      <c r="V291" s="298"/>
      <c r="W291" s="298"/>
      <c r="X291" s="298"/>
    </row>
    <row r="292" spans="1:24" s="266" customFormat="1" ht="45" hidden="1">
      <c r="A292" s="506" t="s">
        <v>147</v>
      </c>
      <c r="B292" s="497" t="s">
        <v>572</v>
      </c>
      <c r="C292" s="497"/>
      <c r="D292" s="507" t="s">
        <v>274</v>
      </c>
      <c r="E292" s="188">
        <f t="shared" si="31"/>
        <v>221640</v>
      </c>
      <c r="F292" s="188">
        <f t="shared" si="32"/>
        <v>0</v>
      </c>
      <c r="G292" s="124"/>
      <c r="H292" s="124"/>
      <c r="I292" s="124"/>
      <c r="J292" s="124"/>
      <c r="K292" s="124"/>
      <c r="L292" s="188">
        <f t="shared" si="33"/>
        <v>221640</v>
      </c>
      <c r="M292" s="280">
        <v>33400</v>
      </c>
      <c r="N292" s="306"/>
      <c r="O292" s="281">
        <v>15000</v>
      </c>
      <c r="P292" s="300">
        <v>24500</v>
      </c>
      <c r="Q292" s="285">
        <v>12800</v>
      </c>
      <c r="R292" s="281">
        <v>14000</v>
      </c>
      <c r="S292" s="284">
        <v>30500</v>
      </c>
      <c r="T292" s="286">
        <v>18500</v>
      </c>
      <c r="U292" s="284">
        <v>22400</v>
      </c>
      <c r="V292" s="284">
        <v>16500</v>
      </c>
      <c r="W292" s="281">
        <v>17540</v>
      </c>
      <c r="X292" s="284">
        <v>16500</v>
      </c>
    </row>
    <row r="293" spans="1:24" s="266" customFormat="1" ht="33.75" hidden="1">
      <c r="A293" s="506" t="s">
        <v>150</v>
      </c>
      <c r="B293" s="497" t="s">
        <v>572</v>
      </c>
      <c r="C293" s="497"/>
      <c r="D293" s="507" t="s">
        <v>164</v>
      </c>
      <c r="E293" s="188">
        <f t="shared" si="31"/>
        <v>53600</v>
      </c>
      <c r="F293" s="188">
        <f t="shared" si="32"/>
        <v>53600</v>
      </c>
      <c r="G293" s="124"/>
      <c r="H293" s="124"/>
      <c r="I293" s="124">
        <v>53600</v>
      </c>
      <c r="J293" s="124"/>
      <c r="K293" s="124"/>
      <c r="L293" s="188">
        <f t="shared" si="33"/>
        <v>0</v>
      </c>
      <c r="M293" s="280"/>
      <c r="N293" s="281"/>
      <c r="O293" s="281"/>
      <c r="P293" s="300"/>
      <c r="Q293" s="246"/>
      <c r="R293" s="281"/>
      <c r="S293" s="284"/>
      <c r="T293" s="286">
        <v>0</v>
      </c>
      <c r="U293" s="284"/>
      <c r="V293" s="284"/>
      <c r="W293" s="281"/>
      <c r="X293" s="284"/>
    </row>
    <row r="294" spans="1:24" s="266" customFormat="1" ht="22.5" hidden="1">
      <c r="A294" s="506" t="s">
        <v>289</v>
      </c>
      <c r="B294" s="497" t="s">
        <v>572</v>
      </c>
      <c r="C294" s="497"/>
      <c r="D294" s="507" t="s">
        <v>165</v>
      </c>
      <c r="E294" s="188">
        <f t="shared" si="31"/>
        <v>3058320</v>
      </c>
      <c r="F294" s="188">
        <f t="shared" si="32"/>
        <v>2993250</v>
      </c>
      <c r="G294" s="124"/>
      <c r="H294" s="124"/>
      <c r="I294" s="124">
        <v>2993250</v>
      </c>
      <c r="J294" s="124"/>
      <c r="K294" s="124"/>
      <c r="L294" s="188">
        <f t="shared" si="33"/>
        <v>65070</v>
      </c>
      <c r="M294" s="280">
        <f>7500+2820</f>
        <v>10320</v>
      </c>
      <c r="N294" s="281">
        <v>2000</v>
      </c>
      <c r="O294" s="281">
        <v>8000</v>
      </c>
      <c r="P294" s="300">
        <v>9000</v>
      </c>
      <c r="Q294" s="285">
        <v>2000</v>
      </c>
      <c r="R294" s="281">
        <v>4500</v>
      </c>
      <c r="S294" s="284">
        <v>9000</v>
      </c>
      <c r="T294" s="286">
        <v>6000</v>
      </c>
      <c r="U294" s="284">
        <v>3000</v>
      </c>
      <c r="V294" s="284">
        <v>2250</v>
      </c>
      <c r="W294" s="281">
        <v>6300</v>
      </c>
      <c r="X294" s="284">
        <v>2700</v>
      </c>
    </row>
    <row r="295" spans="1:24" s="266" customFormat="1" ht="22.5" hidden="1">
      <c r="A295" s="506" t="s">
        <v>152</v>
      </c>
      <c r="B295" s="497" t="s">
        <v>572</v>
      </c>
      <c r="C295" s="497"/>
      <c r="D295" s="507" t="s">
        <v>300</v>
      </c>
      <c r="E295" s="188">
        <f t="shared" si="31"/>
        <v>68000</v>
      </c>
      <c r="F295" s="188">
        <f t="shared" si="32"/>
        <v>68000</v>
      </c>
      <c r="G295" s="124"/>
      <c r="H295" s="124"/>
      <c r="I295" s="124">
        <v>68000</v>
      </c>
      <c r="J295" s="124"/>
      <c r="K295" s="124"/>
      <c r="L295" s="188">
        <f t="shared" si="33"/>
        <v>0</v>
      </c>
      <c r="M295" s="280"/>
      <c r="N295" s="281"/>
      <c r="O295" s="281"/>
      <c r="P295" s="300"/>
      <c r="Q295" s="246"/>
      <c r="R295" s="281"/>
      <c r="S295" s="284"/>
      <c r="T295" s="286">
        <v>0</v>
      </c>
      <c r="U295" s="284"/>
      <c r="V295" s="284"/>
      <c r="W295" s="281"/>
      <c r="X295" s="284"/>
    </row>
    <row r="296" spans="1:24" s="266" customFormat="1" ht="45" hidden="1">
      <c r="A296" s="506" t="s">
        <v>154</v>
      </c>
      <c r="B296" s="497" t="s">
        <v>572</v>
      </c>
      <c r="C296" s="497"/>
      <c r="D296" s="507" t="s">
        <v>201</v>
      </c>
      <c r="E296" s="188">
        <f t="shared" si="31"/>
        <v>287500</v>
      </c>
      <c r="F296" s="188">
        <f t="shared" si="32"/>
        <v>287500</v>
      </c>
      <c r="G296" s="124"/>
      <c r="H296" s="124"/>
      <c r="I296" s="124">
        <v>287500</v>
      </c>
      <c r="J296" s="124"/>
      <c r="K296" s="124"/>
      <c r="L296" s="188">
        <f t="shared" si="33"/>
        <v>0</v>
      </c>
      <c r="M296" s="124">
        <f t="shared" ref="M296:X296" si="34">SUM(M297:M298)</f>
        <v>0</v>
      </c>
      <c r="N296" s="124">
        <f t="shared" si="34"/>
        <v>0</v>
      </c>
      <c r="O296" s="124">
        <f t="shared" si="34"/>
        <v>0</v>
      </c>
      <c r="P296" s="124">
        <f t="shared" si="34"/>
        <v>0</v>
      </c>
      <c r="Q296" s="124">
        <f t="shared" si="34"/>
        <v>0</v>
      </c>
      <c r="R296" s="124">
        <f t="shared" si="34"/>
        <v>0</v>
      </c>
      <c r="S296" s="124">
        <f t="shared" si="34"/>
        <v>0</v>
      </c>
      <c r="T296" s="124">
        <f t="shared" si="34"/>
        <v>0</v>
      </c>
      <c r="U296" s="124">
        <f t="shared" si="34"/>
        <v>0</v>
      </c>
      <c r="V296" s="124">
        <f t="shared" si="34"/>
        <v>0</v>
      </c>
      <c r="W296" s="124">
        <f t="shared" si="34"/>
        <v>0</v>
      </c>
      <c r="X296" s="124">
        <f t="shared" si="34"/>
        <v>0</v>
      </c>
    </row>
    <row r="297" spans="1:24" s="266" customFormat="1" ht="45" hidden="1">
      <c r="A297" s="450"/>
      <c r="B297" s="497" t="s">
        <v>572</v>
      </c>
      <c r="C297" s="497"/>
      <c r="D297" s="310" t="s">
        <v>202</v>
      </c>
      <c r="E297" s="188">
        <f t="shared" si="31"/>
        <v>230000</v>
      </c>
      <c r="F297" s="188">
        <f t="shared" si="32"/>
        <v>230000</v>
      </c>
      <c r="G297" s="124"/>
      <c r="H297" s="124"/>
      <c r="I297" s="124">
        <v>230000</v>
      </c>
      <c r="J297" s="124"/>
      <c r="K297" s="124"/>
      <c r="L297" s="188">
        <f t="shared" si="33"/>
        <v>0</v>
      </c>
      <c r="M297" s="294"/>
      <c r="N297" s="295"/>
      <c r="O297" s="295"/>
      <c r="P297" s="296"/>
      <c r="Q297" s="294"/>
      <c r="R297" s="296"/>
      <c r="S297" s="295"/>
      <c r="T297" s="296"/>
      <c r="U297" s="296"/>
      <c r="V297" s="296"/>
      <c r="W297" s="296"/>
      <c r="X297" s="296"/>
    </row>
    <row r="298" spans="1:24" s="266" customFormat="1" ht="22.5" hidden="1">
      <c r="A298" s="450"/>
      <c r="B298" s="497" t="s">
        <v>572</v>
      </c>
      <c r="C298" s="497"/>
      <c r="D298" s="310" t="s">
        <v>203</v>
      </c>
      <c r="E298" s="188">
        <f t="shared" si="31"/>
        <v>57500</v>
      </c>
      <c r="F298" s="188">
        <f t="shared" si="32"/>
        <v>57500</v>
      </c>
      <c r="G298" s="124"/>
      <c r="H298" s="124"/>
      <c r="I298" s="124">
        <v>57500</v>
      </c>
      <c r="J298" s="124"/>
      <c r="K298" s="124"/>
      <c r="L298" s="188">
        <f t="shared" si="33"/>
        <v>0</v>
      </c>
      <c r="M298" s="294"/>
      <c r="N298" s="295"/>
      <c r="O298" s="295"/>
      <c r="P298" s="296"/>
      <c r="Q298" s="294"/>
      <c r="R298" s="296"/>
      <c r="S298" s="295"/>
      <c r="T298" s="296"/>
      <c r="U298" s="296"/>
      <c r="V298" s="296"/>
      <c r="W298" s="296"/>
      <c r="X298" s="296"/>
    </row>
    <row r="299" spans="1:24" s="266" customFormat="1" hidden="1">
      <c r="A299" s="511"/>
      <c r="B299" s="497" t="s">
        <v>572</v>
      </c>
      <c r="C299" s="497"/>
      <c r="D299" s="310"/>
      <c r="E299" s="188">
        <f t="shared" si="31"/>
        <v>0</v>
      </c>
      <c r="F299" s="188">
        <f t="shared" si="32"/>
        <v>0</v>
      </c>
      <c r="G299" s="124"/>
      <c r="H299" s="124"/>
      <c r="I299" s="124"/>
      <c r="J299" s="124"/>
      <c r="K299" s="124"/>
      <c r="L299" s="188">
        <f t="shared" si="33"/>
        <v>0</v>
      </c>
      <c r="M299" s="296"/>
      <c r="N299" s="296"/>
      <c r="O299" s="296"/>
      <c r="P299" s="296"/>
      <c r="Q299" s="296"/>
      <c r="R299" s="296"/>
      <c r="S299" s="296"/>
      <c r="T299" s="296"/>
      <c r="U299" s="296"/>
      <c r="V299" s="296"/>
      <c r="W299" s="296"/>
      <c r="X299" s="296"/>
    </row>
    <row r="300" spans="1:24" s="304" customFormat="1" ht="22.5" hidden="1">
      <c r="A300" s="504" t="s">
        <v>564</v>
      </c>
      <c r="B300" s="272" t="s">
        <v>572</v>
      </c>
      <c r="C300" s="272"/>
      <c r="D300" s="505" t="s">
        <v>562</v>
      </c>
      <c r="E300" s="51">
        <f t="shared" si="31"/>
        <v>0</v>
      </c>
      <c r="F300" s="51">
        <f t="shared" si="32"/>
        <v>0</v>
      </c>
      <c r="G300" s="297"/>
      <c r="H300" s="297"/>
      <c r="I300" s="297"/>
      <c r="J300" s="297"/>
      <c r="K300" s="297"/>
      <c r="L300" s="51">
        <f t="shared" si="33"/>
        <v>0</v>
      </c>
      <c r="M300" s="298"/>
      <c r="N300" s="298"/>
      <c r="O300" s="298"/>
      <c r="P300" s="298"/>
      <c r="Q300" s="298"/>
      <c r="R300" s="298"/>
      <c r="S300" s="298"/>
      <c r="T300" s="298"/>
      <c r="U300" s="298"/>
      <c r="V300" s="298"/>
      <c r="W300" s="298"/>
      <c r="X300" s="298"/>
    </row>
    <row r="301" spans="1:24" s="266" customFormat="1" ht="45" hidden="1">
      <c r="A301" s="506" t="s">
        <v>299</v>
      </c>
      <c r="B301" s="497" t="s">
        <v>572</v>
      </c>
      <c r="C301" s="497"/>
      <c r="D301" s="507" t="s">
        <v>167</v>
      </c>
      <c r="E301" s="188">
        <f t="shared" si="31"/>
        <v>106596</v>
      </c>
      <c r="F301" s="188">
        <f t="shared" si="32"/>
        <v>0</v>
      </c>
      <c r="G301" s="124"/>
      <c r="H301" s="124"/>
      <c r="I301" s="124"/>
      <c r="J301" s="124"/>
      <c r="K301" s="124"/>
      <c r="L301" s="188">
        <f t="shared" si="33"/>
        <v>106596</v>
      </c>
      <c r="M301" s="280">
        <v>6600</v>
      </c>
      <c r="N301" s="307">
        <v>9620</v>
      </c>
      <c r="O301" s="281">
        <v>9000</v>
      </c>
      <c r="P301" s="300">
        <v>9000</v>
      </c>
      <c r="Q301" s="285">
        <v>6800</v>
      </c>
      <c r="R301" s="281">
        <v>9000</v>
      </c>
      <c r="S301" s="284">
        <v>9000</v>
      </c>
      <c r="T301" s="286">
        <v>9000</v>
      </c>
      <c r="U301" s="284">
        <v>4500</v>
      </c>
      <c r="V301" s="284">
        <v>9000</v>
      </c>
      <c r="W301" s="281">
        <v>16076</v>
      </c>
      <c r="X301" s="284">
        <v>9000</v>
      </c>
    </row>
    <row r="302" spans="1:24" s="308" customFormat="1" ht="22.5" hidden="1">
      <c r="A302" s="506" t="s">
        <v>166</v>
      </c>
      <c r="B302" s="497" t="s">
        <v>572</v>
      </c>
      <c r="C302" s="497"/>
      <c r="D302" s="507" t="s">
        <v>168</v>
      </c>
      <c r="E302" s="188">
        <f t="shared" si="31"/>
        <v>135800</v>
      </c>
      <c r="F302" s="188">
        <f t="shared" si="32"/>
        <v>0</v>
      </c>
      <c r="G302" s="124"/>
      <c r="H302" s="124"/>
      <c r="I302" s="124"/>
      <c r="J302" s="124"/>
      <c r="K302" s="124"/>
      <c r="L302" s="188">
        <f t="shared" si="33"/>
        <v>135800</v>
      </c>
      <c r="M302" s="280">
        <v>30000</v>
      </c>
      <c r="N302" s="281"/>
      <c r="O302" s="281">
        <v>12600</v>
      </c>
      <c r="P302" s="300">
        <v>15500</v>
      </c>
      <c r="Q302" s="285">
        <v>20000</v>
      </c>
      <c r="R302" s="281">
        <v>7500</v>
      </c>
      <c r="S302" s="284">
        <v>19000</v>
      </c>
      <c r="T302" s="286">
        <v>11400</v>
      </c>
      <c r="U302" s="284"/>
      <c r="V302" s="284">
        <v>9900</v>
      </c>
      <c r="W302" s="281"/>
      <c r="X302" s="284">
        <v>9900</v>
      </c>
    </row>
    <row r="303" spans="1:24" s="266" customFormat="1" ht="67.5" hidden="1">
      <c r="A303" s="506" t="s">
        <v>172</v>
      </c>
      <c r="B303" s="497" t="s">
        <v>572</v>
      </c>
      <c r="C303" s="497"/>
      <c r="D303" s="507" t="s">
        <v>169</v>
      </c>
      <c r="E303" s="188">
        <f t="shared" si="31"/>
        <v>50000</v>
      </c>
      <c r="F303" s="188">
        <f t="shared" si="32"/>
        <v>50000</v>
      </c>
      <c r="G303" s="124"/>
      <c r="H303" s="124"/>
      <c r="I303" s="124">
        <v>50000</v>
      </c>
      <c r="J303" s="124"/>
      <c r="K303" s="124"/>
      <c r="L303" s="188">
        <f t="shared" si="33"/>
        <v>0</v>
      </c>
      <c r="M303" s="280"/>
      <c r="N303" s="281"/>
      <c r="O303" s="281"/>
      <c r="P303" s="300"/>
      <c r="Q303" s="246"/>
      <c r="R303" s="281"/>
      <c r="S303" s="284"/>
      <c r="T303" s="286"/>
      <c r="U303" s="284"/>
      <c r="V303" s="284"/>
      <c r="W303" s="281"/>
      <c r="X303" s="284"/>
    </row>
    <row r="304" spans="1:24" s="266" customFormat="1" ht="33.75" hidden="1">
      <c r="A304" s="506" t="s">
        <v>565</v>
      </c>
      <c r="B304" s="497" t="s">
        <v>572</v>
      </c>
      <c r="C304" s="497"/>
      <c r="D304" s="507" t="s">
        <v>170</v>
      </c>
      <c r="E304" s="188">
        <f t="shared" si="31"/>
        <v>150000</v>
      </c>
      <c r="F304" s="188">
        <f t="shared" si="32"/>
        <v>150000</v>
      </c>
      <c r="G304" s="124"/>
      <c r="H304" s="124"/>
      <c r="I304" s="124">
        <v>150000</v>
      </c>
      <c r="J304" s="124"/>
      <c r="K304" s="124"/>
      <c r="L304" s="188">
        <f t="shared" si="33"/>
        <v>0</v>
      </c>
      <c r="M304" s="280"/>
      <c r="N304" s="281"/>
      <c r="O304" s="281"/>
      <c r="P304" s="300"/>
      <c r="Q304" s="246"/>
      <c r="R304" s="281"/>
      <c r="S304" s="284"/>
      <c r="T304" s="286"/>
      <c r="U304" s="284"/>
      <c r="V304" s="284"/>
      <c r="W304" s="281"/>
      <c r="X304" s="284"/>
    </row>
    <row r="305" spans="1:24" s="266" customFormat="1" hidden="1">
      <c r="A305" s="506" t="s">
        <v>566</v>
      </c>
      <c r="B305" s="497" t="s">
        <v>572</v>
      </c>
      <c r="C305" s="497"/>
      <c r="D305" s="507" t="s">
        <v>171</v>
      </c>
      <c r="E305" s="188">
        <f t="shared" si="31"/>
        <v>372000</v>
      </c>
      <c r="F305" s="188">
        <f t="shared" si="32"/>
        <v>372000</v>
      </c>
      <c r="G305" s="124"/>
      <c r="H305" s="124"/>
      <c r="I305" s="124">
        <v>372000</v>
      </c>
      <c r="J305" s="124"/>
      <c r="K305" s="124"/>
      <c r="L305" s="188">
        <f t="shared" si="33"/>
        <v>0</v>
      </c>
      <c r="M305" s="309"/>
      <c r="N305" s="309"/>
      <c r="O305" s="309"/>
      <c r="P305" s="309"/>
      <c r="Q305" s="309"/>
      <c r="R305" s="309"/>
      <c r="S305" s="309"/>
      <c r="T305" s="309"/>
      <c r="U305" s="309"/>
      <c r="V305" s="309"/>
      <c r="W305" s="309"/>
      <c r="X305" s="309"/>
    </row>
    <row r="306" spans="1:24" s="304" customFormat="1" ht="22.5" hidden="1">
      <c r="A306" s="512" t="s">
        <v>277</v>
      </c>
      <c r="B306" s="272" t="s">
        <v>572</v>
      </c>
      <c r="C306" s="272"/>
      <c r="D306" s="513" t="s">
        <v>26</v>
      </c>
      <c r="E306" s="51">
        <f t="shared" si="31"/>
        <v>0</v>
      </c>
      <c r="F306" s="51">
        <f t="shared" si="32"/>
        <v>0</v>
      </c>
      <c r="G306" s="297"/>
      <c r="H306" s="297"/>
      <c r="I306" s="302"/>
      <c r="J306" s="302"/>
      <c r="K306" s="302"/>
      <c r="L306" s="51">
        <f t="shared" si="33"/>
        <v>0</v>
      </c>
      <c r="M306" s="303"/>
      <c r="N306" s="303"/>
      <c r="O306" s="303"/>
      <c r="P306" s="303"/>
      <c r="Q306" s="303"/>
      <c r="R306" s="303"/>
      <c r="S306" s="303"/>
      <c r="T306" s="303"/>
      <c r="U306" s="303"/>
      <c r="V306" s="303"/>
      <c r="W306" s="303"/>
      <c r="X306" s="303"/>
    </row>
    <row r="307" spans="1:24" s="266" customFormat="1" ht="33.75" hidden="1">
      <c r="A307" s="450">
        <v>1</v>
      </c>
      <c r="B307" s="497" t="s">
        <v>572</v>
      </c>
      <c r="C307" s="497"/>
      <c r="D307" s="310" t="s">
        <v>275</v>
      </c>
      <c r="E307" s="188">
        <f t="shared" si="31"/>
        <v>476433</v>
      </c>
      <c r="F307" s="188">
        <f t="shared" si="32"/>
        <v>0</v>
      </c>
      <c r="G307" s="124"/>
      <c r="H307" s="124"/>
      <c r="I307" s="124"/>
      <c r="J307" s="124"/>
      <c r="K307" s="124"/>
      <c r="L307" s="188">
        <f t="shared" si="33"/>
        <v>476433</v>
      </c>
      <c r="M307" s="294">
        <v>91500</v>
      </c>
      <c r="N307" s="295">
        <v>11323</v>
      </c>
      <c r="O307" s="295">
        <v>48000</v>
      </c>
      <c r="P307" s="296">
        <v>54000</v>
      </c>
      <c r="Q307" s="294">
        <v>20800</v>
      </c>
      <c r="R307" s="296">
        <v>29300</v>
      </c>
      <c r="S307" s="295">
        <v>59300</v>
      </c>
      <c r="T307" s="296">
        <v>42750</v>
      </c>
      <c r="U307" s="499">
        <v>22400</v>
      </c>
      <c r="V307" s="296">
        <v>30740</v>
      </c>
      <c r="W307" s="295">
        <v>35100</v>
      </c>
      <c r="X307" s="296">
        <v>31220</v>
      </c>
    </row>
    <row r="308" spans="1:24" s="1" customFormat="1" ht="33.75" hidden="1">
      <c r="A308" s="450">
        <v>2</v>
      </c>
      <c r="B308" s="497" t="s">
        <v>572</v>
      </c>
      <c r="C308" s="497"/>
      <c r="D308" s="310" t="s">
        <v>182</v>
      </c>
      <c r="E308" s="188">
        <f t="shared" si="31"/>
        <v>0</v>
      </c>
      <c r="F308" s="188">
        <f t="shared" si="32"/>
        <v>0</v>
      </c>
      <c r="G308" s="124"/>
      <c r="H308" s="124"/>
      <c r="I308" s="124"/>
      <c r="J308" s="124"/>
      <c r="K308" s="124"/>
      <c r="L308" s="188">
        <f t="shared" si="33"/>
        <v>0</v>
      </c>
      <c r="M308" s="294"/>
      <c r="N308" s="295"/>
      <c r="O308" s="295"/>
      <c r="P308" s="296"/>
      <c r="Q308" s="294"/>
      <c r="R308" s="296"/>
      <c r="S308" s="295"/>
      <c r="T308" s="296">
        <v>0</v>
      </c>
      <c r="U308" s="499"/>
      <c r="V308" s="296"/>
      <c r="W308" s="295"/>
      <c r="X308" s="296"/>
    </row>
    <row r="309" spans="1:24" s="1" customFormat="1" ht="22.5" hidden="1">
      <c r="A309" s="450">
        <v>3</v>
      </c>
      <c r="B309" s="497" t="s">
        <v>572</v>
      </c>
      <c r="C309" s="497"/>
      <c r="D309" s="310" t="s">
        <v>183</v>
      </c>
      <c r="E309" s="188">
        <f t="shared" si="31"/>
        <v>194633</v>
      </c>
      <c r="F309" s="188">
        <f t="shared" si="32"/>
        <v>32000</v>
      </c>
      <c r="G309" s="124"/>
      <c r="H309" s="124"/>
      <c r="I309" s="124">
        <v>32000</v>
      </c>
      <c r="J309" s="124"/>
      <c r="K309" s="124"/>
      <c r="L309" s="188">
        <f t="shared" si="33"/>
        <v>162633</v>
      </c>
      <c r="M309" s="294">
        <v>14400</v>
      </c>
      <c r="N309" s="295">
        <v>17637</v>
      </c>
      <c r="O309" s="295">
        <v>6160</v>
      </c>
      <c r="P309" s="296">
        <v>45000</v>
      </c>
      <c r="Q309" s="294">
        <v>41436</v>
      </c>
      <c r="R309" s="296"/>
      <c r="S309" s="295"/>
      <c r="T309" s="296">
        <v>0</v>
      </c>
      <c r="U309" s="499">
        <v>22400</v>
      </c>
      <c r="V309" s="296"/>
      <c r="W309" s="295">
        <v>15600</v>
      </c>
      <c r="X309" s="296"/>
    </row>
    <row r="310" spans="1:24" s="1" customFormat="1" ht="22.5" hidden="1">
      <c r="A310" s="450">
        <v>4</v>
      </c>
      <c r="B310" s="497" t="s">
        <v>572</v>
      </c>
      <c r="C310" s="497"/>
      <c r="D310" s="311" t="s">
        <v>184</v>
      </c>
      <c r="E310" s="188">
        <f t="shared" si="31"/>
        <v>41000</v>
      </c>
      <c r="F310" s="188">
        <f t="shared" si="32"/>
        <v>41000</v>
      </c>
      <c r="G310" s="124"/>
      <c r="H310" s="124"/>
      <c r="I310" s="124">
        <v>41000</v>
      </c>
      <c r="J310" s="124"/>
      <c r="K310" s="124"/>
      <c r="L310" s="188">
        <f t="shared" si="33"/>
        <v>0</v>
      </c>
      <c r="M310" s="294"/>
      <c r="N310" s="295"/>
      <c r="O310" s="295"/>
      <c r="P310" s="296"/>
      <c r="Q310" s="294"/>
      <c r="R310" s="296"/>
      <c r="S310" s="295"/>
      <c r="T310" s="296">
        <v>0</v>
      </c>
      <c r="U310" s="296"/>
      <c r="V310" s="296"/>
      <c r="W310" s="295"/>
      <c r="X310" s="296"/>
    </row>
    <row r="311" spans="1:24" s="1" customFormat="1" ht="56.25" hidden="1">
      <c r="A311" s="450">
        <v>5</v>
      </c>
      <c r="B311" s="497" t="s">
        <v>572</v>
      </c>
      <c r="C311" s="497"/>
      <c r="D311" s="310" t="s">
        <v>276</v>
      </c>
      <c r="E311" s="188">
        <f t="shared" si="31"/>
        <v>131770</v>
      </c>
      <c r="F311" s="188">
        <f t="shared" si="32"/>
        <v>11200</v>
      </c>
      <c r="G311" s="124"/>
      <c r="H311" s="124"/>
      <c r="I311" s="124">
        <v>11200</v>
      </c>
      <c r="J311" s="124"/>
      <c r="K311" s="124"/>
      <c r="L311" s="188">
        <f t="shared" si="33"/>
        <v>120570</v>
      </c>
      <c r="M311" s="294">
        <v>17900</v>
      </c>
      <c r="N311" s="295">
        <v>2000</v>
      </c>
      <c r="O311" s="295">
        <v>20000</v>
      </c>
      <c r="P311" s="296">
        <v>54670</v>
      </c>
      <c r="Q311" s="294">
        <v>12000</v>
      </c>
      <c r="R311" s="296">
        <v>2000</v>
      </c>
      <c r="S311" s="295">
        <v>2000</v>
      </c>
      <c r="T311" s="296">
        <v>2000</v>
      </c>
      <c r="U311" s="296">
        <v>2000</v>
      </c>
      <c r="V311" s="296">
        <v>2000</v>
      </c>
      <c r="W311" s="296">
        <v>2000</v>
      </c>
      <c r="X311" s="296">
        <v>2000</v>
      </c>
    </row>
    <row r="312" spans="1:24" s="308" customFormat="1" ht="22.5" hidden="1">
      <c r="A312" s="307">
        <v>6</v>
      </c>
      <c r="B312" s="497" t="s">
        <v>572</v>
      </c>
      <c r="C312" s="497"/>
      <c r="D312" s="514" t="s">
        <v>185</v>
      </c>
      <c r="E312" s="188">
        <f t="shared" si="31"/>
        <v>61500</v>
      </c>
      <c r="F312" s="188">
        <f t="shared" si="32"/>
        <v>0</v>
      </c>
      <c r="G312" s="124"/>
      <c r="H312" s="124"/>
      <c r="I312" s="124"/>
      <c r="J312" s="124"/>
      <c r="K312" s="124"/>
      <c r="L312" s="188">
        <f t="shared" si="33"/>
        <v>61500</v>
      </c>
      <c r="M312" s="312">
        <v>7500</v>
      </c>
      <c r="N312" s="313">
        <v>3000</v>
      </c>
      <c r="O312" s="313"/>
      <c r="P312" s="124">
        <v>15000</v>
      </c>
      <c r="Q312" s="312"/>
      <c r="R312" s="124">
        <v>5000</v>
      </c>
      <c r="S312" s="313">
        <v>8750</v>
      </c>
      <c r="T312" s="124">
        <v>6250</v>
      </c>
      <c r="U312" s="124">
        <v>6000</v>
      </c>
      <c r="V312" s="124">
        <v>5000</v>
      </c>
      <c r="W312" s="124"/>
      <c r="X312" s="124">
        <v>5000</v>
      </c>
    </row>
    <row r="313" spans="1:24" s="266" customFormat="1" hidden="1">
      <c r="A313" s="450">
        <v>7</v>
      </c>
      <c r="B313" s="497" t="s">
        <v>572</v>
      </c>
      <c r="C313" s="497"/>
      <c r="D313" s="293" t="s">
        <v>290</v>
      </c>
      <c r="E313" s="188">
        <f t="shared" si="31"/>
        <v>0</v>
      </c>
      <c r="F313" s="188">
        <f t="shared" si="32"/>
        <v>0</v>
      </c>
      <c r="G313" s="124"/>
      <c r="H313" s="124"/>
      <c r="I313" s="124"/>
      <c r="J313" s="124"/>
      <c r="K313" s="124"/>
      <c r="L313" s="188">
        <f t="shared" si="33"/>
        <v>0</v>
      </c>
      <c r="M313" s="312"/>
      <c r="N313" s="313"/>
      <c r="O313" s="313"/>
      <c r="P313" s="124"/>
      <c r="Q313" s="312"/>
      <c r="R313" s="124"/>
      <c r="S313" s="313"/>
      <c r="T313" s="124"/>
      <c r="U313" s="124"/>
      <c r="V313" s="124"/>
      <c r="W313" s="124"/>
      <c r="X313" s="124"/>
    </row>
    <row r="314" spans="1:24" s="266" customFormat="1" hidden="1">
      <c r="A314" s="307">
        <v>8</v>
      </c>
      <c r="B314" s="497" t="s">
        <v>572</v>
      </c>
      <c r="C314" s="497"/>
      <c r="D314" s="293" t="s">
        <v>292</v>
      </c>
      <c r="E314" s="188">
        <f t="shared" si="31"/>
        <v>0</v>
      </c>
      <c r="F314" s="188">
        <f t="shared" si="32"/>
        <v>0</v>
      </c>
      <c r="G314" s="124"/>
      <c r="H314" s="124"/>
      <c r="I314" s="124"/>
      <c r="J314" s="124"/>
      <c r="K314" s="124"/>
      <c r="L314" s="188">
        <f t="shared" si="33"/>
        <v>0</v>
      </c>
      <c r="M314" s="312"/>
      <c r="N314" s="313"/>
      <c r="O314" s="313"/>
      <c r="P314" s="124"/>
      <c r="Q314" s="312"/>
      <c r="R314" s="124"/>
      <c r="S314" s="313"/>
      <c r="T314" s="124"/>
      <c r="U314" s="124"/>
      <c r="V314" s="124"/>
      <c r="W314" s="124"/>
      <c r="X314" s="124"/>
    </row>
    <row r="315" spans="1:24" s="266" customFormat="1" hidden="1">
      <c r="A315" s="450">
        <v>9</v>
      </c>
      <c r="B315" s="497" t="s">
        <v>572</v>
      </c>
      <c r="C315" s="497"/>
      <c r="D315" s="293" t="s">
        <v>291</v>
      </c>
      <c r="E315" s="188">
        <f t="shared" si="31"/>
        <v>0</v>
      </c>
      <c r="F315" s="188">
        <f t="shared" si="32"/>
        <v>0</v>
      </c>
      <c r="G315" s="124"/>
      <c r="H315" s="124"/>
      <c r="I315" s="124"/>
      <c r="J315" s="124"/>
      <c r="K315" s="124"/>
      <c r="L315" s="188">
        <f t="shared" si="33"/>
        <v>0</v>
      </c>
      <c r="M315" s="312"/>
      <c r="N315" s="313"/>
      <c r="O315" s="313"/>
      <c r="P315" s="124"/>
      <c r="Q315" s="312"/>
      <c r="R315" s="124"/>
      <c r="S315" s="313"/>
      <c r="T315" s="124"/>
      <c r="U315" s="124"/>
      <c r="V315" s="124"/>
      <c r="W315" s="124"/>
      <c r="X315" s="124"/>
    </row>
    <row r="316" spans="1:24" s="35" customFormat="1" ht="31.5" hidden="1">
      <c r="A316" s="544">
        <v>7</v>
      </c>
      <c r="B316" s="545" t="s">
        <v>4</v>
      </c>
      <c r="C316" s="545"/>
      <c r="D316" s="314" t="s">
        <v>25</v>
      </c>
      <c r="E316" s="51">
        <f t="shared" si="31"/>
        <v>734073</v>
      </c>
      <c r="F316" s="51">
        <f t="shared" si="32"/>
        <v>196899</v>
      </c>
      <c r="G316" s="96">
        <f>SUM(G317:G327)</f>
        <v>0</v>
      </c>
      <c r="H316" s="96">
        <f t="shared" ref="H316:X316" si="35">SUM(H317:H327)</f>
        <v>0</v>
      </c>
      <c r="I316" s="96">
        <f t="shared" si="35"/>
        <v>0</v>
      </c>
      <c r="J316" s="96">
        <f t="shared" si="35"/>
        <v>0</v>
      </c>
      <c r="K316" s="96">
        <f t="shared" si="35"/>
        <v>196899</v>
      </c>
      <c r="L316" s="51">
        <f t="shared" si="33"/>
        <v>537174</v>
      </c>
      <c r="M316" s="96">
        <f t="shared" si="35"/>
        <v>187571</v>
      </c>
      <c r="N316" s="96">
        <f t="shared" si="35"/>
        <v>15200</v>
      </c>
      <c r="O316" s="96">
        <f t="shared" si="35"/>
        <v>9678</v>
      </c>
      <c r="P316" s="96">
        <f t="shared" si="35"/>
        <v>129000</v>
      </c>
      <c r="Q316" s="96">
        <f t="shared" si="35"/>
        <v>24080</v>
      </c>
      <c r="R316" s="96">
        <f t="shared" si="35"/>
        <v>41826</v>
      </c>
      <c r="S316" s="96">
        <f t="shared" si="35"/>
        <v>46079</v>
      </c>
      <c r="T316" s="96">
        <f t="shared" si="35"/>
        <v>0</v>
      </c>
      <c r="U316" s="96">
        <f t="shared" si="35"/>
        <v>20460</v>
      </c>
      <c r="V316" s="96">
        <f t="shared" si="35"/>
        <v>31950</v>
      </c>
      <c r="W316" s="96">
        <f t="shared" si="35"/>
        <v>9970</v>
      </c>
      <c r="X316" s="96">
        <f t="shared" si="35"/>
        <v>21360</v>
      </c>
    </row>
    <row r="317" spans="1:24" s="266" customFormat="1" hidden="1">
      <c r="A317" s="517">
        <v>1</v>
      </c>
      <c r="B317" s="459" t="s">
        <v>4</v>
      </c>
      <c r="C317" s="459"/>
      <c r="D317" s="519" t="s">
        <v>92</v>
      </c>
      <c r="E317" s="188">
        <f t="shared" si="31"/>
        <v>289865</v>
      </c>
      <c r="F317" s="188">
        <f t="shared" si="32"/>
        <v>110939</v>
      </c>
      <c r="G317" s="53"/>
      <c r="H317" s="53"/>
      <c r="I317" s="53"/>
      <c r="J317" s="53"/>
      <c r="K317" s="57">
        <f>8954+70340+21520+5701+4424</f>
        <v>110939</v>
      </c>
      <c r="L317" s="188">
        <f t="shared" si="33"/>
        <v>178926</v>
      </c>
      <c r="M317" s="57">
        <v>64680</v>
      </c>
      <c r="N317" s="57">
        <v>8000</v>
      </c>
      <c r="O317" s="315">
        <v>900</v>
      </c>
      <c r="P317" s="296">
        <v>15000</v>
      </c>
      <c r="Q317" s="315">
        <v>24080</v>
      </c>
      <c r="R317" s="57">
        <v>13826</v>
      </c>
      <c r="S317" s="57"/>
      <c r="T317" s="57"/>
      <c r="U317" s="315">
        <v>3060</v>
      </c>
      <c r="V317" s="315">
        <v>29950</v>
      </c>
      <c r="W317" s="315">
        <v>2800</v>
      </c>
      <c r="X317" s="57">
        <v>16630</v>
      </c>
    </row>
    <row r="318" spans="1:24" s="266" customFormat="1" hidden="1">
      <c r="A318" s="517">
        <v>3</v>
      </c>
      <c r="B318" s="459" t="s">
        <v>4</v>
      </c>
      <c r="C318" s="459"/>
      <c r="D318" s="519" t="s">
        <v>194</v>
      </c>
      <c r="E318" s="188">
        <f t="shared" si="31"/>
        <v>77540</v>
      </c>
      <c r="F318" s="188">
        <f t="shared" si="32"/>
        <v>57540</v>
      </c>
      <c r="G318" s="53"/>
      <c r="H318" s="53"/>
      <c r="I318" s="53"/>
      <c r="J318" s="53"/>
      <c r="K318" s="57">
        <v>57540</v>
      </c>
      <c r="L318" s="188">
        <f t="shared" si="33"/>
        <v>20000</v>
      </c>
      <c r="M318" s="57">
        <v>10271</v>
      </c>
      <c r="N318" s="57"/>
      <c r="O318" s="315"/>
      <c r="P318" s="296"/>
      <c r="Q318" s="315"/>
      <c r="R318" s="57"/>
      <c r="S318" s="57">
        <v>6429</v>
      </c>
      <c r="T318" s="57"/>
      <c r="U318" s="315">
        <v>600</v>
      </c>
      <c r="V318" s="315">
        <v>2000</v>
      </c>
      <c r="W318" s="315">
        <v>450</v>
      </c>
      <c r="X318" s="57">
        <v>250</v>
      </c>
    </row>
    <row r="319" spans="1:24" s="266" customFormat="1" hidden="1">
      <c r="A319" s="517">
        <v>4</v>
      </c>
      <c r="B319" s="459" t="s">
        <v>4</v>
      </c>
      <c r="C319" s="459"/>
      <c r="D319" s="519" t="s">
        <v>195</v>
      </c>
      <c r="E319" s="188">
        <f t="shared" si="31"/>
        <v>179698</v>
      </c>
      <c r="F319" s="188">
        <f t="shared" si="32"/>
        <v>0</v>
      </c>
      <c r="G319" s="53"/>
      <c r="H319" s="53"/>
      <c r="I319" s="53"/>
      <c r="J319" s="53"/>
      <c r="K319" s="57"/>
      <c r="L319" s="188">
        <f t="shared" si="33"/>
        <v>179698</v>
      </c>
      <c r="M319" s="57">
        <v>55020</v>
      </c>
      <c r="N319" s="57"/>
      <c r="O319" s="315">
        <v>3778</v>
      </c>
      <c r="P319" s="296">
        <v>97500</v>
      </c>
      <c r="Q319" s="315"/>
      <c r="R319" s="57">
        <v>13000</v>
      </c>
      <c r="S319" s="57">
        <v>10400</v>
      </c>
      <c r="T319" s="57"/>
      <c r="U319" s="315"/>
      <c r="V319" s="315"/>
      <c r="W319" s="315"/>
      <c r="X319" s="57">
        <v>0</v>
      </c>
    </row>
    <row r="320" spans="1:24" s="266" customFormat="1" ht="22.5" hidden="1">
      <c r="A320" s="517">
        <v>5</v>
      </c>
      <c r="B320" s="459" t="s">
        <v>4</v>
      </c>
      <c r="C320" s="459"/>
      <c r="D320" s="519" t="s">
        <v>196</v>
      </c>
      <c r="E320" s="188">
        <f t="shared" si="31"/>
        <v>135170</v>
      </c>
      <c r="F320" s="188">
        <f t="shared" si="32"/>
        <v>0</v>
      </c>
      <c r="G320" s="53"/>
      <c r="H320" s="53"/>
      <c r="I320" s="53"/>
      <c r="J320" s="53"/>
      <c r="K320" s="57"/>
      <c r="L320" s="188">
        <f t="shared" si="33"/>
        <v>135170</v>
      </c>
      <c r="M320" s="57">
        <v>57600</v>
      </c>
      <c r="N320" s="57">
        <v>7200</v>
      </c>
      <c r="O320" s="315">
        <v>5000</v>
      </c>
      <c r="P320" s="296"/>
      <c r="Q320" s="315"/>
      <c r="R320" s="57">
        <v>15000</v>
      </c>
      <c r="S320" s="57">
        <v>29250</v>
      </c>
      <c r="T320" s="57"/>
      <c r="U320" s="315">
        <v>16800</v>
      </c>
      <c r="V320" s="315"/>
      <c r="W320" s="315">
        <v>4320</v>
      </c>
      <c r="X320" s="57">
        <v>0</v>
      </c>
    </row>
    <row r="321" spans="1:24" s="266" customFormat="1" hidden="1">
      <c r="A321" s="517">
        <v>6</v>
      </c>
      <c r="B321" s="459" t="s">
        <v>4</v>
      </c>
      <c r="C321" s="459"/>
      <c r="D321" s="519" t="s">
        <v>197</v>
      </c>
      <c r="E321" s="188">
        <f t="shared" si="31"/>
        <v>6880</v>
      </c>
      <c r="F321" s="188">
        <f t="shared" si="32"/>
        <v>0</v>
      </c>
      <c r="G321" s="53"/>
      <c r="H321" s="53"/>
      <c r="I321" s="53"/>
      <c r="J321" s="53"/>
      <c r="K321" s="57"/>
      <c r="L321" s="188">
        <f t="shared" si="33"/>
        <v>6880</v>
      </c>
      <c r="M321" s="57">
        <v>0</v>
      </c>
      <c r="N321" s="57"/>
      <c r="O321" s="315"/>
      <c r="P321" s="296"/>
      <c r="Q321" s="315"/>
      <c r="R321" s="57">
        <v>0</v>
      </c>
      <c r="S321" s="57"/>
      <c r="T321" s="57"/>
      <c r="U321" s="315"/>
      <c r="V321" s="315"/>
      <c r="W321" s="315">
        <v>2400</v>
      </c>
      <c r="X321" s="57">
        <v>4480</v>
      </c>
    </row>
    <row r="322" spans="1:24" s="266" customFormat="1" ht="22.5" hidden="1">
      <c r="A322" s="517">
        <v>7</v>
      </c>
      <c r="B322" s="459" t="s">
        <v>4</v>
      </c>
      <c r="C322" s="459"/>
      <c r="D322" s="519" t="s">
        <v>198</v>
      </c>
      <c r="E322" s="188">
        <f t="shared" si="31"/>
        <v>44920</v>
      </c>
      <c r="F322" s="188">
        <f t="shared" si="32"/>
        <v>28420</v>
      </c>
      <c r="G322" s="53"/>
      <c r="H322" s="53"/>
      <c r="I322" s="53"/>
      <c r="J322" s="53"/>
      <c r="K322" s="57">
        <f>23750+4670</f>
        <v>28420</v>
      </c>
      <c r="L322" s="188">
        <f t="shared" si="33"/>
        <v>16500</v>
      </c>
      <c r="M322" s="57">
        <v>0</v>
      </c>
      <c r="N322" s="57"/>
      <c r="O322" s="315"/>
      <c r="P322" s="296">
        <v>16500</v>
      </c>
      <c r="Q322" s="315"/>
      <c r="R322" s="57">
        <v>0</v>
      </c>
      <c r="S322" s="57"/>
      <c r="T322" s="57"/>
      <c r="U322" s="315"/>
      <c r="V322" s="315"/>
      <c r="W322" s="315"/>
      <c r="X322" s="57">
        <v>0</v>
      </c>
    </row>
    <row r="323" spans="1:24" s="266" customFormat="1" hidden="1">
      <c r="A323" s="517">
        <v>8</v>
      </c>
      <c r="B323" s="459" t="s">
        <v>4</v>
      </c>
      <c r="C323" s="459"/>
      <c r="D323" s="519" t="s">
        <v>199</v>
      </c>
      <c r="E323" s="188">
        <f t="shared" si="31"/>
        <v>0</v>
      </c>
      <c r="F323" s="188">
        <f t="shared" si="32"/>
        <v>0</v>
      </c>
      <c r="G323" s="53"/>
      <c r="H323" s="53"/>
      <c r="I323" s="53"/>
      <c r="J323" s="53"/>
      <c r="K323" s="57"/>
      <c r="L323" s="188">
        <f t="shared" si="33"/>
        <v>0</v>
      </c>
      <c r="M323" s="57">
        <v>0</v>
      </c>
      <c r="N323" s="57"/>
      <c r="O323" s="315"/>
      <c r="P323" s="296"/>
      <c r="Q323" s="315"/>
      <c r="R323" s="57">
        <v>0</v>
      </c>
      <c r="S323" s="57"/>
      <c r="T323" s="57"/>
      <c r="U323" s="315"/>
      <c r="V323" s="315"/>
      <c r="W323" s="315"/>
      <c r="X323" s="57">
        <v>0</v>
      </c>
    </row>
    <row r="324" spans="1:24" s="266" customFormat="1" ht="22.5" hidden="1">
      <c r="A324" s="517">
        <v>9</v>
      </c>
      <c r="B324" s="459" t="s">
        <v>4</v>
      </c>
      <c r="C324" s="459"/>
      <c r="D324" s="519" t="s">
        <v>200</v>
      </c>
      <c r="E324" s="188">
        <f t="shared" si="31"/>
        <v>0</v>
      </c>
      <c r="F324" s="188">
        <f t="shared" si="32"/>
        <v>0</v>
      </c>
      <c r="G324" s="53"/>
      <c r="H324" s="53"/>
      <c r="I324" s="53"/>
      <c r="J324" s="53"/>
      <c r="K324" s="57"/>
      <c r="L324" s="188">
        <f t="shared" si="33"/>
        <v>0</v>
      </c>
      <c r="M324" s="57">
        <v>0</v>
      </c>
      <c r="N324" s="57"/>
      <c r="O324" s="315"/>
      <c r="P324" s="296"/>
      <c r="Q324" s="315"/>
      <c r="R324" s="57">
        <v>0</v>
      </c>
      <c r="S324" s="57"/>
      <c r="T324" s="57"/>
      <c r="U324" s="315"/>
      <c r="V324" s="315"/>
      <c r="W324" s="315"/>
      <c r="X324" s="57">
        <v>0</v>
      </c>
    </row>
    <row r="325" spans="1:24" s="266" customFormat="1" hidden="1">
      <c r="A325" s="517">
        <v>10</v>
      </c>
      <c r="B325" s="459" t="s">
        <v>4</v>
      </c>
      <c r="C325" s="459"/>
      <c r="D325" s="316" t="s">
        <v>290</v>
      </c>
      <c r="E325" s="188">
        <f t="shared" si="31"/>
        <v>0</v>
      </c>
      <c r="F325" s="188">
        <f t="shared" si="32"/>
        <v>0</v>
      </c>
      <c r="G325" s="53"/>
      <c r="H325" s="53"/>
      <c r="I325" s="53"/>
      <c r="J325" s="53"/>
      <c r="K325" s="57"/>
      <c r="L325" s="188">
        <f t="shared" si="33"/>
        <v>0</v>
      </c>
      <c r="M325" s="57">
        <v>0</v>
      </c>
      <c r="N325" s="57"/>
      <c r="O325" s="315"/>
      <c r="P325" s="296"/>
      <c r="Q325" s="315"/>
      <c r="R325" s="57">
        <v>0</v>
      </c>
      <c r="S325" s="57"/>
      <c r="T325" s="57"/>
      <c r="U325" s="315"/>
      <c r="V325" s="315"/>
      <c r="W325" s="315"/>
      <c r="X325" s="57">
        <v>0</v>
      </c>
    </row>
    <row r="326" spans="1:24" s="266" customFormat="1" hidden="1">
      <c r="A326" s="517">
        <v>11</v>
      </c>
      <c r="B326" s="459" t="s">
        <v>4</v>
      </c>
      <c r="C326" s="459"/>
      <c r="D326" s="316" t="s">
        <v>292</v>
      </c>
      <c r="E326" s="188">
        <f t="shared" si="31"/>
        <v>0</v>
      </c>
      <c r="F326" s="188">
        <f t="shared" si="32"/>
        <v>0</v>
      </c>
      <c r="G326" s="53"/>
      <c r="H326" s="53"/>
      <c r="I326" s="53"/>
      <c r="J326" s="53"/>
      <c r="K326" s="57"/>
      <c r="L326" s="188">
        <f t="shared" si="33"/>
        <v>0</v>
      </c>
      <c r="M326" s="57">
        <v>0</v>
      </c>
      <c r="N326" s="57"/>
      <c r="O326" s="315"/>
      <c r="P326" s="296"/>
      <c r="Q326" s="315"/>
      <c r="R326" s="57">
        <v>0</v>
      </c>
      <c r="S326" s="57"/>
      <c r="T326" s="57"/>
      <c r="U326" s="315"/>
      <c r="V326" s="315"/>
      <c r="W326" s="315"/>
      <c r="X326" s="57">
        <v>0</v>
      </c>
    </row>
    <row r="327" spans="1:24" s="266" customFormat="1" hidden="1">
      <c r="A327" s="517">
        <v>12</v>
      </c>
      <c r="B327" s="459" t="s">
        <v>4</v>
      </c>
      <c r="C327" s="459"/>
      <c r="D327" s="316" t="s">
        <v>291</v>
      </c>
      <c r="E327" s="188">
        <f t="shared" si="31"/>
        <v>0</v>
      </c>
      <c r="F327" s="188">
        <f t="shared" si="32"/>
        <v>0</v>
      </c>
      <c r="G327" s="53"/>
      <c r="H327" s="53"/>
      <c r="I327" s="53"/>
      <c r="J327" s="53"/>
      <c r="K327" s="57"/>
      <c r="L327" s="188">
        <f t="shared" si="33"/>
        <v>0</v>
      </c>
      <c r="M327" s="57">
        <v>0</v>
      </c>
      <c r="N327" s="57"/>
      <c r="O327" s="315"/>
      <c r="P327" s="296"/>
      <c r="Q327" s="315"/>
      <c r="R327" s="57">
        <v>0</v>
      </c>
      <c r="S327" s="57"/>
      <c r="T327" s="57"/>
      <c r="U327" s="315"/>
      <c r="V327" s="315"/>
      <c r="W327" s="315"/>
      <c r="X327" s="57">
        <v>0</v>
      </c>
    </row>
    <row r="328" spans="1:24" s="35" customFormat="1" ht="21" hidden="1">
      <c r="A328" s="317">
        <v>8</v>
      </c>
      <c r="B328" s="318" t="s">
        <v>34</v>
      </c>
      <c r="C328" s="318"/>
      <c r="D328" s="129" t="s">
        <v>533</v>
      </c>
      <c r="E328" s="51">
        <f t="shared" si="31"/>
        <v>2004985.04</v>
      </c>
      <c r="F328" s="51">
        <f t="shared" si="32"/>
        <v>358650</v>
      </c>
      <c r="G328" s="96">
        <f>SUM(G329:G355)</f>
        <v>358650</v>
      </c>
      <c r="H328" s="96">
        <f t="shared" ref="H328:X328" si="36">SUM(H329:H355)</f>
        <v>0</v>
      </c>
      <c r="I328" s="96">
        <f t="shared" si="36"/>
        <v>0</v>
      </c>
      <c r="J328" s="96">
        <f t="shared" si="36"/>
        <v>0</v>
      </c>
      <c r="K328" s="96">
        <f t="shared" si="36"/>
        <v>0</v>
      </c>
      <c r="L328" s="51">
        <f t="shared" si="33"/>
        <v>1646335.04</v>
      </c>
      <c r="M328" s="96">
        <f t="shared" si="36"/>
        <v>229848</v>
      </c>
      <c r="N328" s="96">
        <f t="shared" si="36"/>
        <v>62900</v>
      </c>
      <c r="O328" s="96">
        <f t="shared" si="36"/>
        <v>143565</v>
      </c>
      <c r="P328" s="96">
        <f t="shared" si="36"/>
        <v>35600</v>
      </c>
      <c r="Q328" s="96">
        <f t="shared" si="36"/>
        <v>95136</v>
      </c>
      <c r="R328" s="96">
        <f t="shared" si="36"/>
        <v>54400</v>
      </c>
      <c r="S328" s="96">
        <f t="shared" si="36"/>
        <v>52455</v>
      </c>
      <c r="T328" s="96">
        <f t="shared" si="36"/>
        <v>87264</v>
      </c>
      <c r="U328" s="96">
        <f t="shared" si="36"/>
        <v>666967.04000000004</v>
      </c>
      <c r="V328" s="96">
        <f t="shared" si="36"/>
        <v>69570</v>
      </c>
      <c r="W328" s="96">
        <f t="shared" si="36"/>
        <v>83230</v>
      </c>
      <c r="X328" s="96">
        <f t="shared" si="36"/>
        <v>65400</v>
      </c>
    </row>
    <row r="329" spans="1:24" hidden="1">
      <c r="A329" s="234">
        <v>1</v>
      </c>
      <c r="B329" s="319" t="s">
        <v>34</v>
      </c>
      <c r="C329" s="319"/>
      <c r="D329" s="183" t="s">
        <v>99</v>
      </c>
      <c r="E329" s="51">
        <f t="shared" si="31"/>
        <v>21400</v>
      </c>
      <c r="F329" s="51">
        <f t="shared" si="32"/>
        <v>21400</v>
      </c>
      <c r="G329" s="135">
        <v>21400</v>
      </c>
      <c r="H329" s="135"/>
      <c r="I329" s="135"/>
      <c r="J329" s="135"/>
      <c r="K329" s="135"/>
      <c r="L329" s="51">
        <f t="shared" si="33"/>
        <v>0</v>
      </c>
      <c r="M329" s="136"/>
      <c r="N329" s="147"/>
      <c r="O329" s="145"/>
      <c r="P329" s="145"/>
      <c r="Q329" s="152"/>
      <c r="R329" s="145"/>
      <c r="S329" s="147"/>
      <c r="T329" s="145"/>
      <c r="U329" s="320"/>
      <c r="V329" s="145"/>
      <c r="W329" s="145"/>
      <c r="X329" s="137"/>
    </row>
    <row r="330" spans="1:24" ht="22.5" hidden="1">
      <c r="A330" s="234">
        <v>2</v>
      </c>
      <c r="B330" s="319" t="s">
        <v>34</v>
      </c>
      <c r="C330" s="319"/>
      <c r="D330" s="183" t="s">
        <v>587</v>
      </c>
      <c r="E330" s="51">
        <f t="shared" ref="E330:E393" si="37">F330+L330</f>
        <v>21400</v>
      </c>
      <c r="F330" s="51">
        <f t="shared" ref="F330:F393" si="38">SUM(G330:K330)</f>
        <v>21400</v>
      </c>
      <c r="G330" s="135">
        <v>21400</v>
      </c>
      <c r="H330" s="135"/>
      <c r="I330" s="135"/>
      <c r="J330" s="135"/>
      <c r="K330" s="135"/>
      <c r="L330" s="51">
        <f t="shared" ref="L330:L393" si="39">SUM(M330:X330)</f>
        <v>0</v>
      </c>
      <c r="M330" s="136"/>
      <c r="N330" s="147"/>
      <c r="O330" s="321"/>
      <c r="P330" s="321"/>
      <c r="Q330" s="152"/>
      <c r="R330" s="321"/>
      <c r="S330" s="147"/>
      <c r="T330" s="321"/>
      <c r="U330" s="322"/>
      <c r="V330" s="321"/>
      <c r="W330" s="321"/>
      <c r="X330" s="190"/>
    </row>
    <row r="331" spans="1:24" ht="22.5" hidden="1">
      <c r="A331" s="234">
        <v>3</v>
      </c>
      <c r="B331" s="319" t="s">
        <v>34</v>
      </c>
      <c r="C331" s="319"/>
      <c r="D331" s="183" t="s">
        <v>100</v>
      </c>
      <c r="E331" s="51">
        <f t="shared" si="37"/>
        <v>230520</v>
      </c>
      <c r="F331" s="51">
        <f t="shared" si="38"/>
        <v>0</v>
      </c>
      <c r="G331" s="135"/>
      <c r="H331" s="135"/>
      <c r="I331" s="135"/>
      <c r="J331" s="135"/>
      <c r="K331" s="135"/>
      <c r="L331" s="51">
        <f t="shared" si="39"/>
        <v>230520</v>
      </c>
      <c r="M331" s="136">
        <v>19200</v>
      </c>
      <c r="N331" s="147">
        <v>18000</v>
      </c>
      <c r="O331" s="147">
        <v>18000</v>
      </c>
      <c r="P331" s="147">
        <v>18000</v>
      </c>
      <c r="Q331" s="152">
        <v>16800</v>
      </c>
      <c r="R331" s="147">
        <v>22720</v>
      </c>
      <c r="S331" s="147"/>
      <c r="T331" s="147">
        <v>9900</v>
      </c>
      <c r="U331" s="322">
        <v>51200</v>
      </c>
      <c r="V331" s="147">
        <v>32400</v>
      </c>
      <c r="W331" s="147">
        <v>8100</v>
      </c>
      <c r="X331" s="105">
        <v>16200</v>
      </c>
    </row>
    <row r="332" spans="1:24" ht="45" hidden="1">
      <c r="A332" s="234">
        <v>4</v>
      </c>
      <c r="B332" s="319" t="s">
        <v>34</v>
      </c>
      <c r="C332" s="319"/>
      <c r="D332" s="183" t="s">
        <v>101</v>
      </c>
      <c r="E332" s="51">
        <f t="shared" si="37"/>
        <v>251048</v>
      </c>
      <c r="F332" s="51">
        <f t="shared" si="38"/>
        <v>49600</v>
      </c>
      <c r="G332" s="135">
        <v>49600</v>
      </c>
      <c r="H332" s="135"/>
      <c r="I332" s="135"/>
      <c r="J332" s="135"/>
      <c r="K332" s="135"/>
      <c r="L332" s="51">
        <f t="shared" si="39"/>
        <v>201448</v>
      </c>
      <c r="M332" s="255">
        <v>176248</v>
      </c>
      <c r="N332" s="147"/>
      <c r="O332" s="152">
        <v>5200</v>
      </c>
      <c r="P332" s="147"/>
      <c r="Q332" s="152">
        <v>20000</v>
      </c>
      <c r="R332" s="152"/>
      <c r="S332" s="147"/>
      <c r="T332" s="152"/>
      <c r="U332" s="322"/>
      <c r="V332" s="152"/>
      <c r="W332" s="152"/>
      <c r="X332" s="135"/>
    </row>
    <row r="333" spans="1:24" ht="22.5" hidden="1">
      <c r="A333" s="234">
        <v>5</v>
      </c>
      <c r="B333" s="319" t="s">
        <v>34</v>
      </c>
      <c r="C333" s="319"/>
      <c r="D333" s="183" t="s">
        <v>588</v>
      </c>
      <c r="E333" s="51">
        <f t="shared" si="37"/>
        <v>577805</v>
      </c>
      <c r="F333" s="51">
        <f t="shared" si="38"/>
        <v>0</v>
      </c>
      <c r="G333" s="135"/>
      <c r="H333" s="135"/>
      <c r="I333" s="135"/>
      <c r="J333" s="135"/>
      <c r="K333" s="135"/>
      <c r="L333" s="51">
        <f t="shared" si="39"/>
        <v>577805</v>
      </c>
      <c r="M333" s="255">
        <v>26300</v>
      </c>
      <c r="N333" s="147">
        <v>29000</v>
      </c>
      <c r="O333" s="152">
        <v>50000</v>
      </c>
      <c r="P333" s="147">
        <v>17600</v>
      </c>
      <c r="Q333" s="152">
        <v>19000</v>
      </c>
      <c r="R333" s="152">
        <v>1000</v>
      </c>
      <c r="S333" s="147">
        <v>13475</v>
      </c>
      <c r="T333" s="152">
        <v>45160</v>
      </c>
      <c r="U333" s="322">
        <v>342000</v>
      </c>
      <c r="V333" s="152">
        <v>1290</v>
      </c>
      <c r="W333" s="152">
        <v>16080</v>
      </c>
      <c r="X333" s="135">
        <v>16900</v>
      </c>
    </row>
    <row r="334" spans="1:24" hidden="1">
      <c r="A334" s="234">
        <v>6</v>
      </c>
      <c r="B334" s="319" t="s">
        <v>34</v>
      </c>
      <c r="C334" s="319"/>
      <c r="D334" s="183" t="s">
        <v>102</v>
      </c>
      <c r="E334" s="51">
        <f t="shared" si="37"/>
        <v>5850</v>
      </c>
      <c r="F334" s="51">
        <f t="shared" si="38"/>
        <v>0</v>
      </c>
      <c r="G334" s="135"/>
      <c r="H334" s="135"/>
      <c r="I334" s="135"/>
      <c r="J334" s="135"/>
      <c r="K334" s="135"/>
      <c r="L334" s="51">
        <f t="shared" si="39"/>
        <v>5850</v>
      </c>
      <c r="M334" s="255"/>
      <c r="N334" s="147"/>
      <c r="O334" s="152"/>
      <c r="P334" s="152"/>
      <c r="Q334" s="152"/>
      <c r="R334" s="152"/>
      <c r="S334" s="147">
        <v>2250</v>
      </c>
      <c r="T334" s="152"/>
      <c r="U334" s="152"/>
      <c r="V334" s="152">
        <v>3600</v>
      </c>
      <c r="W334" s="152"/>
      <c r="X334" s="135"/>
    </row>
    <row r="335" spans="1:24" hidden="1">
      <c r="A335" s="234">
        <v>7</v>
      </c>
      <c r="B335" s="319" t="s">
        <v>34</v>
      </c>
      <c r="C335" s="319"/>
      <c r="D335" s="323" t="s">
        <v>103</v>
      </c>
      <c r="E335" s="51">
        <f t="shared" si="37"/>
        <v>19100</v>
      </c>
      <c r="F335" s="51">
        <f t="shared" si="38"/>
        <v>0</v>
      </c>
      <c r="G335" s="135"/>
      <c r="H335" s="135"/>
      <c r="I335" s="135"/>
      <c r="J335" s="135"/>
      <c r="K335" s="135"/>
      <c r="L335" s="51">
        <f t="shared" si="39"/>
        <v>19100</v>
      </c>
      <c r="M335" s="255"/>
      <c r="N335" s="147">
        <v>5400</v>
      </c>
      <c r="O335" s="152"/>
      <c r="P335" s="152"/>
      <c r="Q335" s="152">
        <v>2500</v>
      </c>
      <c r="R335" s="152"/>
      <c r="S335" s="147">
        <v>400</v>
      </c>
      <c r="T335" s="145">
        <v>2520</v>
      </c>
      <c r="U335" s="152"/>
      <c r="V335" s="152">
        <v>5280</v>
      </c>
      <c r="W335" s="152">
        <v>3000</v>
      </c>
      <c r="X335" s="135"/>
    </row>
    <row r="336" spans="1:24" hidden="1">
      <c r="A336" s="234">
        <v>8</v>
      </c>
      <c r="B336" s="319" t="s">
        <v>34</v>
      </c>
      <c r="C336" s="319"/>
      <c r="D336" s="323" t="s">
        <v>104</v>
      </c>
      <c r="E336" s="51">
        <f t="shared" si="37"/>
        <v>1750</v>
      </c>
      <c r="F336" s="51">
        <f t="shared" si="38"/>
        <v>0</v>
      </c>
      <c r="G336" s="135"/>
      <c r="H336" s="135"/>
      <c r="I336" s="135"/>
      <c r="J336" s="135"/>
      <c r="K336" s="135"/>
      <c r="L336" s="51">
        <f t="shared" si="39"/>
        <v>1750</v>
      </c>
      <c r="M336" s="255"/>
      <c r="N336" s="147"/>
      <c r="O336" s="152"/>
      <c r="P336" s="152"/>
      <c r="Q336" s="152"/>
      <c r="R336" s="152"/>
      <c r="S336" s="147">
        <v>1750</v>
      </c>
      <c r="T336" s="152"/>
      <c r="U336" s="152"/>
      <c r="V336" s="152"/>
      <c r="W336" s="152"/>
      <c r="X336" s="135"/>
    </row>
    <row r="337" spans="1:24" hidden="1">
      <c r="A337" s="234">
        <v>9</v>
      </c>
      <c r="B337" s="319" t="s">
        <v>34</v>
      </c>
      <c r="C337" s="319"/>
      <c r="D337" s="323" t="s">
        <v>589</v>
      </c>
      <c r="E337" s="51">
        <f t="shared" si="37"/>
        <v>0</v>
      </c>
      <c r="F337" s="51">
        <f t="shared" si="38"/>
        <v>0</v>
      </c>
      <c r="G337" s="135"/>
      <c r="H337" s="135"/>
      <c r="I337" s="135"/>
      <c r="J337" s="135"/>
      <c r="K337" s="135"/>
      <c r="L337" s="51">
        <f t="shared" si="39"/>
        <v>0</v>
      </c>
      <c r="M337" s="255"/>
      <c r="N337" s="147"/>
      <c r="O337" s="152"/>
      <c r="P337" s="152"/>
      <c r="Q337" s="152"/>
      <c r="R337" s="152"/>
      <c r="S337" s="147"/>
      <c r="T337" s="152"/>
      <c r="U337" s="152"/>
      <c r="V337" s="152"/>
      <c r="W337" s="152"/>
      <c r="X337" s="135"/>
    </row>
    <row r="338" spans="1:24" ht="45" hidden="1">
      <c r="A338" s="234">
        <v>10</v>
      </c>
      <c r="B338" s="319" t="s">
        <v>34</v>
      </c>
      <c r="C338" s="319"/>
      <c r="D338" s="183" t="s">
        <v>105</v>
      </c>
      <c r="E338" s="51">
        <f t="shared" si="37"/>
        <v>6300</v>
      </c>
      <c r="F338" s="51">
        <f t="shared" si="38"/>
        <v>0</v>
      </c>
      <c r="G338" s="135"/>
      <c r="H338" s="135"/>
      <c r="I338" s="135"/>
      <c r="J338" s="135"/>
      <c r="K338" s="135"/>
      <c r="L338" s="51">
        <f t="shared" si="39"/>
        <v>6300</v>
      </c>
      <c r="M338" s="255">
        <v>3300</v>
      </c>
      <c r="N338" s="147"/>
      <c r="O338" s="152"/>
      <c r="P338" s="152"/>
      <c r="Q338" s="152"/>
      <c r="R338" s="152"/>
      <c r="S338" s="147"/>
      <c r="T338" s="152"/>
      <c r="U338" s="152"/>
      <c r="V338" s="152"/>
      <c r="W338" s="152">
        <v>3000</v>
      </c>
      <c r="X338" s="135"/>
    </row>
    <row r="339" spans="1:24" ht="22.5" hidden="1">
      <c r="A339" s="234">
        <v>11</v>
      </c>
      <c r="B339" s="319" t="s">
        <v>34</v>
      </c>
      <c r="C339" s="319"/>
      <c r="D339" s="183" t="s">
        <v>106</v>
      </c>
      <c r="E339" s="51">
        <f t="shared" si="37"/>
        <v>27940</v>
      </c>
      <c r="F339" s="51">
        <f t="shared" si="38"/>
        <v>0</v>
      </c>
      <c r="G339" s="135"/>
      <c r="H339" s="135"/>
      <c r="I339" s="135"/>
      <c r="J339" s="135"/>
      <c r="K339" s="135"/>
      <c r="L339" s="51">
        <f t="shared" si="39"/>
        <v>27940</v>
      </c>
      <c r="M339" s="255"/>
      <c r="N339" s="147">
        <v>6000</v>
      </c>
      <c r="O339" s="152">
        <v>3400</v>
      </c>
      <c r="P339" s="152"/>
      <c r="Q339" s="152">
        <v>3500</v>
      </c>
      <c r="R339" s="152">
        <v>3540</v>
      </c>
      <c r="S339" s="147"/>
      <c r="T339" s="145"/>
      <c r="U339" s="152">
        <v>10600</v>
      </c>
      <c r="V339" s="152"/>
      <c r="W339" s="152">
        <v>900</v>
      </c>
      <c r="X339" s="135"/>
    </row>
    <row r="340" spans="1:24" ht="45" hidden="1">
      <c r="A340" s="234">
        <v>12</v>
      </c>
      <c r="B340" s="319" t="s">
        <v>34</v>
      </c>
      <c r="C340" s="319"/>
      <c r="D340" s="183" t="s">
        <v>107</v>
      </c>
      <c r="E340" s="51">
        <f t="shared" si="37"/>
        <v>4800</v>
      </c>
      <c r="F340" s="51">
        <f t="shared" si="38"/>
        <v>0</v>
      </c>
      <c r="G340" s="135"/>
      <c r="H340" s="135"/>
      <c r="I340" s="135"/>
      <c r="J340" s="135"/>
      <c r="K340" s="135"/>
      <c r="L340" s="51">
        <f t="shared" si="39"/>
        <v>4800</v>
      </c>
      <c r="M340" s="136">
        <v>4800</v>
      </c>
      <c r="N340" s="324"/>
      <c r="O340" s="325"/>
      <c r="P340" s="325"/>
      <c r="Q340" s="152"/>
      <c r="R340" s="325"/>
      <c r="S340" s="147"/>
      <c r="T340" s="325"/>
      <c r="U340" s="325"/>
      <c r="V340" s="325"/>
      <c r="W340" s="325"/>
      <c r="X340" s="320"/>
    </row>
    <row r="341" spans="1:24" ht="45" hidden="1">
      <c r="A341" s="234">
        <v>13</v>
      </c>
      <c r="B341" s="319" t="s">
        <v>34</v>
      </c>
      <c r="C341" s="319"/>
      <c r="D341" s="183" t="s">
        <v>108</v>
      </c>
      <c r="E341" s="51">
        <f t="shared" si="37"/>
        <v>14340</v>
      </c>
      <c r="F341" s="51">
        <f t="shared" si="38"/>
        <v>0</v>
      </c>
      <c r="G341" s="135"/>
      <c r="H341" s="135"/>
      <c r="I341" s="135"/>
      <c r="J341" s="135"/>
      <c r="K341" s="135"/>
      <c r="L341" s="51">
        <f t="shared" si="39"/>
        <v>14340</v>
      </c>
      <c r="M341" s="136"/>
      <c r="N341" s="324"/>
      <c r="O341" s="325"/>
      <c r="P341" s="325"/>
      <c r="Q341" s="152"/>
      <c r="R341" s="325"/>
      <c r="S341" s="147"/>
      <c r="T341" s="325"/>
      <c r="U341" s="325"/>
      <c r="V341" s="325">
        <v>3360</v>
      </c>
      <c r="W341" s="325">
        <v>10980</v>
      </c>
      <c r="X341" s="320"/>
    </row>
    <row r="342" spans="1:24" ht="22.5" hidden="1">
      <c r="A342" s="234">
        <v>14</v>
      </c>
      <c r="B342" s="319" t="s">
        <v>34</v>
      </c>
      <c r="C342" s="319"/>
      <c r="D342" s="183" t="s">
        <v>109</v>
      </c>
      <c r="E342" s="51">
        <f t="shared" si="37"/>
        <v>45000</v>
      </c>
      <c r="F342" s="51">
        <f t="shared" si="38"/>
        <v>0</v>
      </c>
      <c r="G342" s="135"/>
      <c r="H342" s="135"/>
      <c r="I342" s="135"/>
      <c r="J342" s="135"/>
      <c r="K342" s="135"/>
      <c r="L342" s="51">
        <f t="shared" si="39"/>
        <v>45000</v>
      </c>
      <c r="M342" s="136"/>
      <c r="N342" s="324"/>
      <c r="O342" s="325">
        <v>45000</v>
      </c>
      <c r="P342" s="325"/>
      <c r="Q342" s="152"/>
      <c r="R342" s="325"/>
      <c r="S342" s="147"/>
      <c r="T342" s="325"/>
      <c r="U342" s="325"/>
      <c r="V342" s="325"/>
      <c r="W342" s="325"/>
      <c r="X342" s="320"/>
    </row>
    <row r="343" spans="1:24" ht="22.5" hidden="1">
      <c r="A343" s="234">
        <v>15</v>
      </c>
      <c r="B343" s="319" t="s">
        <v>34</v>
      </c>
      <c r="C343" s="319"/>
      <c r="D343" s="183" t="s">
        <v>110</v>
      </c>
      <c r="E343" s="51">
        <f t="shared" si="37"/>
        <v>25200</v>
      </c>
      <c r="F343" s="51">
        <f t="shared" si="38"/>
        <v>25200</v>
      </c>
      <c r="G343" s="135">
        <v>25200</v>
      </c>
      <c r="H343" s="135"/>
      <c r="I343" s="135"/>
      <c r="J343" s="135"/>
      <c r="K343" s="135"/>
      <c r="L343" s="51">
        <f t="shared" si="39"/>
        <v>0</v>
      </c>
      <c r="M343" s="136"/>
      <c r="N343" s="324"/>
      <c r="O343" s="325"/>
      <c r="P343" s="325"/>
      <c r="Q343" s="152"/>
      <c r="R343" s="325"/>
      <c r="S343" s="147"/>
      <c r="T343" s="325"/>
      <c r="U343" s="325"/>
      <c r="V343" s="325"/>
      <c r="W343" s="325"/>
      <c r="X343" s="320"/>
    </row>
    <row r="344" spans="1:24" ht="22.5" hidden="1">
      <c r="A344" s="234">
        <v>16</v>
      </c>
      <c r="B344" s="319" t="s">
        <v>34</v>
      </c>
      <c r="C344" s="319"/>
      <c r="D344" s="183" t="s">
        <v>111</v>
      </c>
      <c r="E344" s="51">
        <f t="shared" si="37"/>
        <v>19200</v>
      </c>
      <c r="F344" s="51">
        <f t="shared" si="38"/>
        <v>19200</v>
      </c>
      <c r="G344" s="135">
        <v>19200</v>
      </c>
      <c r="H344" s="135"/>
      <c r="I344" s="135"/>
      <c r="J344" s="135"/>
      <c r="K344" s="135"/>
      <c r="L344" s="51">
        <f t="shared" si="39"/>
        <v>0</v>
      </c>
      <c r="M344" s="136"/>
      <c r="N344" s="324"/>
      <c r="O344" s="325"/>
      <c r="P344" s="325"/>
      <c r="Q344" s="152"/>
      <c r="R344" s="325"/>
      <c r="S344" s="147"/>
      <c r="T344" s="325"/>
      <c r="U344" s="325"/>
      <c r="V344" s="325"/>
      <c r="W344" s="325"/>
      <c r="X344" s="320"/>
    </row>
    <row r="345" spans="1:24" hidden="1">
      <c r="A345" s="234">
        <v>17</v>
      </c>
      <c r="B345" s="319" t="s">
        <v>34</v>
      </c>
      <c r="C345" s="319"/>
      <c r="D345" s="183" t="s">
        <v>493</v>
      </c>
      <c r="E345" s="51">
        <f t="shared" si="37"/>
        <v>105299</v>
      </c>
      <c r="F345" s="51">
        <f t="shared" si="38"/>
        <v>0</v>
      </c>
      <c r="G345" s="135"/>
      <c r="H345" s="135"/>
      <c r="I345" s="135"/>
      <c r="J345" s="135"/>
      <c r="K345" s="135"/>
      <c r="L345" s="51">
        <f t="shared" si="39"/>
        <v>105299</v>
      </c>
      <c r="M345" s="136"/>
      <c r="N345" s="324"/>
      <c r="O345" s="325">
        <v>21965</v>
      </c>
      <c r="P345" s="325"/>
      <c r="Q345" s="152">
        <v>26600</v>
      </c>
      <c r="R345" s="325"/>
      <c r="S345" s="147"/>
      <c r="T345" s="325">
        <v>29684</v>
      </c>
      <c r="U345" s="325"/>
      <c r="V345" s="325">
        <v>23640</v>
      </c>
      <c r="W345" s="325">
        <v>3410</v>
      </c>
      <c r="X345" s="320"/>
    </row>
    <row r="346" spans="1:24" hidden="1">
      <c r="A346" s="234">
        <v>18</v>
      </c>
      <c r="B346" s="319" t="s">
        <v>34</v>
      </c>
      <c r="C346" s="319"/>
      <c r="D346" s="174" t="s">
        <v>224</v>
      </c>
      <c r="E346" s="51">
        <f t="shared" si="37"/>
        <v>34580</v>
      </c>
      <c r="F346" s="51">
        <f t="shared" si="38"/>
        <v>0</v>
      </c>
      <c r="G346" s="135"/>
      <c r="H346" s="135"/>
      <c r="I346" s="135"/>
      <c r="J346" s="135"/>
      <c r="K346" s="135"/>
      <c r="L346" s="51">
        <f t="shared" si="39"/>
        <v>34580</v>
      </c>
      <c r="M346" s="136"/>
      <c r="N346" s="324"/>
      <c r="O346" s="325"/>
      <c r="P346" s="325"/>
      <c r="Q346" s="326"/>
      <c r="R346" s="325"/>
      <c r="S346" s="147">
        <v>34580</v>
      </c>
      <c r="T346" s="325"/>
      <c r="U346" s="327"/>
      <c r="V346" s="325"/>
      <c r="W346" s="325"/>
      <c r="X346" s="320"/>
    </row>
    <row r="347" spans="1:24" hidden="1">
      <c r="A347" s="234">
        <v>19</v>
      </c>
      <c r="B347" s="319" t="s">
        <v>34</v>
      </c>
      <c r="C347" s="319"/>
      <c r="D347" s="174" t="s">
        <v>494</v>
      </c>
      <c r="E347" s="51">
        <f t="shared" si="37"/>
        <v>58000</v>
      </c>
      <c r="F347" s="51">
        <f t="shared" si="38"/>
        <v>0</v>
      </c>
      <c r="G347" s="135"/>
      <c r="H347" s="135"/>
      <c r="I347" s="135"/>
      <c r="J347" s="135"/>
      <c r="K347" s="135"/>
      <c r="L347" s="51">
        <f t="shared" si="39"/>
        <v>58000</v>
      </c>
      <c r="M347" s="136"/>
      <c r="N347" s="324"/>
      <c r="O347" s="325"/>
      <c r="P347" s="325"/>
      <c r="Q347" s="326"/>
      <c r="R347" s="325"/>
      <c r="S347" s="147"/>
      <c r="T347" s="325"/>
      <c r="U347" s="327">
        <v>58000</v>
      </c>
      <c r="V347" s="325"/>
      <c r="W347" s="325"/>
      <c r="X347" s="320"/>
    </row>
    <row r="348" spans="1:24" hidden="1">
      <c r="A348" s="234">
        <v>20</v>
      </c>
      <c r="B348" s="319" t="s">
        <v>34</v>
      </c>
      <c r="C348" s="319"/>
      <c r="D348" s="174" t="s">
        <v>291</v>
      </c>
      <c r="E348" s="51">
        <f t="shared" si="37"/>
        <v>79778</v>
      </c>
      <c r="F348" s="51">
        <f t="shared" si="38"/>
        <v>0</v>
      </c>
      <c r="G348" s="135"/>
      <c r="H348" s="135"/>
      <c r="I348" s="135"/>
      <c r="J348" s="135"/>
      <c r="K348" s="135"/>
      <c r="L348" s="51">
        <f t="shared" si="39"/>
        <v>79778</v>
      </c>
      <c r="M348" s="136"/>
      <c r="N348" s="324"/>
      <c r="O348" s="325"/>
      <c r="P348" s="325"/>
      <c r="Q348" s="326"/>
      <c r="R348" s="325"/>
      <c r="S348" s="147"/>
      <c r="T348" s="325"/>
      <c r="U348" s="327">
        <v>79778</v>
      </c>
      <c r="V348" s="325"/>
      <c r="W348" s="325"/>
      <c r="X348" s="320"/>
    </row>
    <row r="349" spans="1:24" hidden="1">
      <c r="A349" s="234">
        <v>21</v>
      </c>
      <c r="B349" s="319" t="s">
        <v>34</v>
      </c>
      <c r="C349" s="319"/>
      <c r="D349" s="174" t="s">
        <v>112</v>
      </c>
      <c r="E349" s="51">
        <f t="shared" si="37"/>
        <v>3340</v>
      </c>
      <c r="F349" s="51">
        <f t="shared" si="38"/>
        <v>0</v>
      </c>
      <c r="G349" s="135"/>
      <c r="H349" s="135"/>
      <c r="I349" s="135"/>
      <c r="J349" s="135"/>
      <c r="K349" s="135"/>
      <c r="L349" s="51">
        <f t="shared" si="39"/>
        <v>3340</v>
      </c>
      <c r="M349" s="255"/>
      <c r="N349" s="324"/>
      <c r="O349" s="327"/>
      <c r="P349" s="327"/>
      <c r="Q349" s="326"/>
      <c r="R349" s="327">
        <v>3340</v>
      </c>
      <c r="S349" s="147"/>
      <c r="T349" s="327"/>
      <c r="U349" s="327"/>
      <c r="V349" s="327"/>
      <c r="W349" s="327"/>
      <c r="X349" s="328"/>
    </row>
    <row r="350" spans="1:24" hidden="1">
      <c r="A350" s="234">
        <v>22</v>
      </c>
      <c r="B350" s="319" t="s">
        <v>34</v>
      </c>
      <c r="C350" s="319"/>
      <c r="D350" s="238" t="s">
        <v>495</v>
      </c>
      <c r="E350" s="51">
        <f t="shared" si="37"/>
        <v>11286</v>
      </c>
      <c r="F350" s="51">
        <f t="shared" si="38"/>
        <v>4550</v>
      </c>
      <c r="G350" s="105">
        <v>4550</v>
      </c>
      <c r="H350" s="105"/>
      <c r="I350" s="105"/>
      <c r="J350" s="105"/>
      <c r="K350" s="105"/>
      <c r="L350" s="51">
        <f t="shared" si="39"/>
        <v>6736</v>
      </c>
      <c r="M350" s="105"/>
      <c r="N350" s="105"/>
      <c r="O350" s="105"/>
      <c r="P350" s="105"/>
      <c r="Q350" s="105">
        <v>6736</v>
      </c>
      <c r="R350" s="105"/>
      <c r="S350" s="105"/>
      <c r="T350" s="105"/>
      <c r="U350" s="105"/>
      <c r="V350" s="105"/>
      <c r="W350" s="105"/>
      <c r="X350" s="105"/>
    </row>
    <row r="351" spans="1:24" hidden="1">
      <c r="A351" s="234">
        <v>23</v>
      </c>
      <c r="B351" s="319" t="s">
        <v>34</v>
      </c>
      <c r="C351" s="319"/>
      <c r="D351" s="238" t="s">
        <v>496</v>
      </c>
      <c r="E351" s="51">
        <f t="shared" si="37"/>
        <v>50000</v>
      </c>
      <c r="F351" s="51">
        <f t="shared" si="38"/>
        <v>0</v>
      </c>
      <c r="G351" s="105"/>
      <c r="H351" s="105"/>
      <c r="I351" s="105"/>
      <c r="J351" s="105"/>
      <c r="K351" s="105"/>
      <c r="L351" s="51">
        <f t="shared" si="39"/>
        <v>50000</v>
      </c>
      <c r="M351" s="105"/>
      <c r="N351" s="105"/>
      <c r="O351" s="105"/>
      <c r="P351" s="105"/>
      <c r="Q351" s="105"/>
      <c r="R351" s="105"/>
      <c r="S351" s="105"/>
      <c r="T351" s="105"/>
      <c r="U351" s="105">
        <v>50000</v>
      </c>
      <c r="V351" s="105"/>
      <c r="W351" s="105"/>
      <c r="X351" s="105"/>
    </row>
    <row r="352" spans="1:24" hidden="1">
      <c r="A352" s="234">
        <v>24</v>
      </c>
      <c r="B352" s="319" t="s">
        <v>34</v>
      </c>
      <c r="C352" s="319"/>
      <c r="D352" s="238" t="s">
        <v>497</v>
      </c>
      <c r="E352" s="51">
        <f t="shared" si="37"/>
        <v>59600</v>
      </c>
      <c r="F352" s="51">
        <f t="shared" si="38"/>
        <v>37200</v>
      </c>
      <c r="G352" s="105">
        <v>37200</v>
      </c>
      <c r="H352" s="105"/>
      <c r="I352" s="105"/>
      <c r="J352" s="105"/>
      <c r="K352" s="105"/>
      <c r="L352" s="51">
        <f t="shared" si="39"/>
        <v>22400</v>
      </c>
      <c r="M352" s="105"/>
      <c r="N352" s="105"/>
      <c r="O352" s="105"/>
      <c r="P352" s="105"/>
      <c r="Q352" s="105"/>
      <c r="R352" s="105"/>
      <c r="S352" s="105"/>
      <c r="T352" s="105"/>
      <c r="U352" s="105"/>
      <c r="V352" s="105"/>
      <c r="W352" s="105">
        <v>22400</v>
      </c>
      <c r="X352" s="105"/>
    </row>
    <row r="353" spans="1:24" hidden="1">
      <c r="A353" s="234">
        <v>25</v>
      </c>
      <c r="B353" s="319" t="s">
        <v>34</v>
      </c>
      <c r="C353" s="319"/>
      <c r="D353" s="238" t="s">
        <v>498</v>
      </c>
      <c r="E353" s="51">
        <f t="shared" si="37"/>
        <v>191089.03999999998</v>
      </c>
      <c r="F353" s="51">
        <f t="shared" si="38"/>
        <v>81600</v>
      </c>
      <c r="G353" s="105">
        <v>81600</v>
      </c>
      <c r="H353" s="105"/>
      <c r="I353" s="105"/>
      <c r="J353" s="105"/>
      <c r="K353" s="105"/>
      <c r="L353" s="51">
        <f t="shared" si="39"/>
        <v>109489.04</v>
      </c>
      <c r="M353" s="105"/>
      <c r="N353" s="105">
        <v>4500</v>
      </c>
      <c r="O353" s="105"/>
      <c r="P353" s="105"/>
      <c r="Q353" s="105"/>
      <c r="R353" s="105">
        <f>4800+16640</f>
        <v>21440</v>
      </c>
      <c r="S353" s="105"/>
      <c r="T353" s="105"/>
      <c r="U353" s="105">
        <v>75389.039999999994</v>
      </c>
      <c r="V353" s="105"/>
      <c r="W353" s="105">
        <v>5760</v>
      </c>
      <c r="X353" s="105">
        <v>2400</v>
      </c>
    </row>
    <row r="354" spans="1:24" ht="33.75" hidden="1">
      <c r="A354" s="234">
        <v>26</v>
      </c>
      <c r="B354" s="319" t="s">
        <v>34</v>
      </c>
      <c r="C354" s="319" t="s">
        <v>613</v>
      </c>
      <c r="D354" s="582" t="s">
        <v>499</v>
      </c>
      <c r="E354" s="51">
        <f t="shared" si="37"/>
        <v>106860</v>
      </c>
      <c r="F354" s="51">
        <f t="shared" si="38"/>
        <v>65000</v>
      </c>
      <c r="G354" s="105">
        <v>65000</v>
      </c>
      <c r="H354" s="105"/>
      <c r="I354" s="105"/>
      <c r="J354" s="105"/>
      <c r="K354" s="105"/>
      <c r="L354" s="51">
        <f t="shared" si="39"/>
        <v>41860</v>
      </c>
      <c r="M354" s="105"/>
      <c r="N354" s="105"/>
      <c r="O354" s="105"/>
      <c r="P354" s="105"/>
      <c r="Q354" s="105"/>
      <c r="R354" s="105">
        <v>2360</v>
      </c>
      <c r="S354" s="105"/>
      <c r="T354" s="105"/>
      <c r="U354" s="105"/>
      <c r="V354" s="105"/>
      <c r="W354" s="105">
        <v>9600</v>
      </c>
      <c r="X354" s="105">
        <v>29900</v>
      </c>
    </row>
    <row r="355" spans="1:24" ht="33.75" hidden="1">
      <c r="A355" s="234">
        <v>27</v>
      </c>
      <c r="B355" s="319" t="s">
        <v>34</v>
      </c>
      <c r="C355" s="319"/>
      <c r="D355" s="153" t="s">
        <v>500</v>
      </c>
      <c r="E355" s="51">
        <f t="shared" si="37"/>
        <v>33500</v>
      </c>
      <c r="F355" s="51">
        <f t="shared" si="38"/>
        <v>33500</v>
      </c>
      <c r="G355" s="105">
        <v>33500</v>
      </c>
      <c r="H355" s="105"/>
      <c r="I355" s="105"/>
      <c r="J355" s="105"/>
      <c r="K355" s="105"/>
      <c r="L355" s="51">
        <f t="shared" si="39"/>
        <v>0</v>
      </c>
      <c r="M355" s="105"/>
      <c r="N355" s="105"/>
      <c r="O355" s="105"/>
      <c r="P355" s="105"/>
      <c r="Q355" s="105"/>
      <c r="R355" s="105"/>
      <c r="S355" s="105"/>
      <c r="T355" s="105"/>
      <c r="U355" s="105"/>
      <c r="V355" s="105"/>
      <c r="W355" s="105"/>
      <c r="X355" s="105"/>
    </row>
    <row r="356" spans="1:24" s="35" customFormat="1" ht="21" hidden="1">
      <c r="A356" s="317">
        <v>9</v>
      </c>
      <c r="B356" s="318" t="s">
        <v>34</v>
      </c>
      <c r="C356" s="318"/>
      <c r="D356" s="129" t="s">
        <v>27</v>
      </c>
      <c r="E356" s="51">
        <f t="shared" si="37"/>
        <v>2841777</v>
      </c>
      <c r="F356" s="51">
        <f t="shared" si="38"/>
        <v>1123400</v>
      </c>
      <c r="G356" s="96">
        <f t="shared" ref="G356:X356" si="40">G357+G379</f>
        <v>1123400</v>
      </c>
      <c r="H356" s="96">
        <f t="shared" si="40"/>
        <v>0</v>
      </c>
      <c r="I356" s="96">
        <f t="shared" si="40"/>
        <v>0</v>
      </c>
      <c r="J356" s="96">
        <f t="shared" si="40"/>
        <v>0</v>
      </c>
      <c r="K356" s="96">
        <f t="shared" si="40"/>
        <v>0</v>
      </c>
      <c r="L356" s="51">
        <f t="shared" si="39"/>
        <v>1718377</v>
      </c>
      <c r="M356" s="96">
        <f t="shared" si="40"/>
        <v>103020</v>
      </c>
      <c r="N356" s="96">
        <f t="shared" si="40"/>
        <v>28500</v>
      </c>
      <c r="O356" s="96">
        <f t="shared" si="40"/>
        <v>88000</v>
      </c>
      <c r="P356" s="96">
        <f t="shared" si="40"/>
        <v>115300</v>
      </c>
      <c r="Q356" s="96">
        <f t="shared" si="40"/>
        <v>85190</v>
      </c>
      <c r="R356" s="96">
        <f t="shared" si="40"/>
        <v>132675</v>
      </c>
      <c r="S356" s="96">
        <f t="shared" si="40"/>
        <v>328660</v>
      </c>
      <c r="T356" s="96">
        <f t="shared" si="40"/>
        <v>206798</v>
      </c>
      <c r="U356" s="96">
        <f t="shared" si="40"/>
        <v>287874</v>
      </c>
      <c r="V356" s="96">
        <f t="shared" si="40"/>
        <v>152660</v>
      </c>
      <c r="W356" s="96">
        <f t="shared" si="40"/>
        <v>122810</v>
      </c>
      <c r="X356" s="96">
        <f t="shared" si="40"/>
        <v>66890</v>
      </c>
    </row>
    <row r="357" spans="1:24" s="520" customFormat="1" ht="22.5" hidden="1">
      <c r="A357" s="329" t="s">
        <v>259</v>
      </c>
      <c r="B357" s="318" t="s">
        <v>34</v>
      </c>
      <c r="C357" s="318"/>
      <c r="D357" s="330" t="s">
        <v>129</v>
      </c>
      <c r="E357" s="51">
        <f t="shared" si="37"/>
        <v>2235717</v>
      </c>
      <c r="F357" s="51">
        <f t="shared" si="38"/>
        <v>666400</v>
      </c>
      <c r="G357" s="237">
        <f>SUM(G358:G378)</f>
        <v>666400</v>
      </c>
      <c r="H357" s="237">
        <f t="shared" ref="H357:X357" si="41">SUM(H358:H378)</f>
        <v>0</v>
      </c>
      <c r="I357" s="237">
        <f t="shared" si="41"/>
        <v>0</v>
      </c>
      <c r="J357" s="237">
        <f t="shared" si="41"/>
        <v>0</v>
      </c>
      <c r="K357" s="237">
        <f t="shared" si="41"/>
        <v>0</v>
      </c>
      <c r="L357" s="51">
        <f t="shared" si="39"/>
        <v>1569317</v>
      </c>
      <c r="M357" s="237">
        <f t="shared" si="41"/>
        <v>92920</v>
      </c>
      <c r="N357" s="237">
        <f t="shared" si="41"/>
        <v>25500</v>
      </c>
      <c r="O357" s="237">
        <f t="shared" si="41"/>
        <v>85000</v>
      </c>
      <c r="P357" s="237">
        <f t="shared" si="41"/>
        <v>101850</v>
      </c>
      <c r="Q357" s="237">
        <f t="shared" si="41"/>
        <v>81690</v>
      </c>
      <c r="R357" s="237">
        <f t="shared" si="41"/>
        <v>111145</v>
      </c>
      <c r="S357" s="237">
        <f t="shared" si="41"/>
        <v>313640</v>
      </c>
      <c r="T357" s="237">
        <f t="shared" si="41"/>
        <v>193878</v>
      </c>
      <c r="U357" s="237">
        <f t="shared" si="41"/>
        <v>273714</v>
      </c>
      <c r="V357" s="237">
        <f t="shared" si="41"/>
        <v>126460</v>
      </c>
      <c r="W357" s="237">
        <f t="shared" si="41"/>
        <v>115810</v>
      </c>
      <c r="X357" s="237">
        <f t="shared" si="41"/>
        <v>47710</v>
      </c>
    </row>
    <row r="358" spans="1:24" s="521" customFormat="1" ht="33.75" hidden="1">
      <c r="A358" s="142">
        <v>1</v>
      </c>
      <c r="B358" s="319" t="s">
        <v>34</v>
      </c>
      <c r="C358" s="319"/>
      <c r="D358" s="583" t="s">
        <v>406</v>
      </c>
      <c r="E358" s="51">
        <f t="shared" si="37"/>
        <v>325500</v>
      </c>
      <c r="F358" s="51">
        <f t="shared" si="38"/>
        <v>100000</v>
      </c>
      <c r="G358" s="147">
        <v>100000</v>
      </c>
      <c r="H358" s="135"/>
      <c r="I358" s="135"/>
      <c r="J358" s="135"/>
      <c r="K358" s="135"/>
      <c r="L358" s="51">
        <f t="shared" si="39"/>
        <v>225500</v>
      </c>
      <c r="M358" s="332"/>
      <c r="N358" s="237"/>
      <c r="O358" s="145"/>
      <c r="P358" s="145"/>
      <c r="Q358" s="152"/>
      <c r="R358" s="145"/>
      <c r="S358" s="333">
        <v>133800</v>
      </c>
      <c r="T358" s="145">
        <v>43800</v>
      </c>
      <c r="U358" s="334">
        <v>28500</v>
      </c>
      <c r="V358" s="145">
        <v>14000</v>
      </c>
      <c r="W358" s="145"/>
      <c r="X358" s="137">
        <v>5400</v>
      </c>
    </row>
    <row r="359" spans="1:24" s="521" customFormat="1" ht="22.5" hidden="1">
      <c r="A359" s="142">
        <v>2</v>
      </c>
      <c r="B359" s="319" t="s">
        <v>34</v>
      </c>
      <c r="C359" s="319"/>
      <c r="D359" s="335" t="s">
        <v>113</v>
      </c>
      <c r="E359" s="51">
        <f t="shared" si="37"/>
        <v>52178</v>
      </c>
      <c r="F359" s="51">
        <f t="shared" si="38"/>
        <v>0</v>
      </c>
      <c r="G359" s="147"/>
      <c r="H359" s="135"/>
      <c r="I359" s="135"/>
      <c r="J359" s="135"/>
      <c r="K359" s="135"/>
      <c r="L359" s="51">
        <f t="shared" si="39"/>
        <v>52178</v>
      </c>
      <c r="M359" s="332">
        <v>1400</v>
      </c>
      <c r="N359" s="147">
        <v>8000</v>
      </c>
      <c r="O359" s="145"/>
      <c r="P359" s="145"/>
      <c r="Q359" s="152"/>
      <c r="R359" s="145">
        <v>10630</v>
      </c>
      <c r="S359" s="147"/>
      <c r="T359" s="145">
        <v>29648</v>
      </c>
      <c r="U359" s="336"/>
      <c r="V359" s="145"/>
      <c r="W359" s="145">
        <v>2500</v>
      </c>
      <c r="X359" s="137"/>
    </row>
    <row r="360" spans="1:24" s="521" customFormat="1" ht="22.5" hidden="1">
      <c r="A360" s="142">
        <v>3</v>
      </c>
      <c r="B360" s="319" t="s">
        <v>34</v>
      </c>
      <c r="C360" s="319"/>
      <c r="D360" s="335" t="s">
        <v>114</v>
      </c>
      <c r="E360" s="51">
        <f t="shared" si="37"/>
        <v>0</v>
      </c>
      <c r="F360" s="51">
        <f t="shared" si="38"/>
        <v>0</v>
      </c>
      <c r="G360" s="147"/>
      <c r="H360" s="135"/>
      <c r="I360" s="135"/>
      <c r="J360" s="135"/>
      <c r="K360" s="135"/>
      <c r="L360" s="51">
        <f t="shared" si="39"/>
        <v>0</v>
      </c>
      <c r="M360" s="332">
        <v>0</v>
      </c>
      <c r="N360" s="147">
        <v>0</v>
      </c>
      <c r="O360" s="145">
        <v>0</v>
      </c>
      <c r="P360" s="145">
        <v>0</v>
      </c>
      <c r="Q360" s="152">
        <v>0</v>
      </c>
      <c r="R360" s="145">
        <v>0</v>
      </c>
      <c r="S360" s="147">
        <v>0</v>
      </c>
      <c r="T360" s="145">
        <v>0</v>
      </c>
      <c r="U360" s="336">
        <v>0</v>
      </c>
      <c r="V360" s="145">
        <v>0</v>
      </c>
      <c r="W360" s="145">
        <v>0</v>
      </c>
      <c r="X360" s="137">
        <v>0</v>
      </c>
    </row>
    <row r="361" spans="1:24" s="521" customFormat="1" ht="22.5" hidden="1">
      <c r="A361" s="142">
        <v>4</v>
      </c>
      <c r="B361" s="319" t="s">
        <v>34</v>
      </c>
      <c r="C361" s="319"/>
      <c r="D361" s="335" t="s">
        <v>115</v>
      </c>
      <c r="E361" s="51">
        <f t="shared" si="37"/>
        <v>0</v>
      </c>
      <c r="F361" s="51">
        <f t="shared" si="38"/>
        <v>0</v>
      </c>
      <c r="G361" s="147"/>
      <c r="H361" s="135"/>
      <c r="I361" s="135"/>
      <c r="J361" s="135"/>
      <c r="K361" s="135"/>
      <c r="L361" s="51">
        <f t="shared" si="39"/>
        <v>0</v>
      </c>
      <c r="M361" s="332">
        <v>0</v>
      </c>
      <c r="N361" s="147">
        <v>0</v>
      </c>
      <c r="O361" s="145">
        <v>0</v>
      </c>
      <c r="P361" s="145">
        <v>0</v>
      </c>
      <c r="Q361" s="152">
        <v>0</v>
      </c>
      <c r="R361" s="145">
        <v>0</v>
      </c>
      <c r="S361" s="147">
        <v>0</v>
      </c>
      <c r="T361" s="145">
        <v>0</v>
      </c>
      <c r="U361" s="336">
        <v>0</v>
      </c>
      <c r="V361" s="145">
        <v>0</v>
      </c>
      <c r="W361" s="145">
        <v>0</v>
      </c>
      <c r="X361" s="137">
        <v>0</v>
      </c>
    </row>
    <row r="362" spans="1:24" s="521" customFormat="1" ht="22.5" hidden="1">
      <c r="A362" s="142">
        <v>5</v>
      </c>
      <c r="B362" s="319" t="s">
        <v>34</v>
      </c>
      <c r="C362" s="319"/>
      <c r="D362" s="335" t="s">
        <v>116</v>
      </c>
      <c r="E362" s="51">
        <f t="shared" si="37"/>
        <v>0</v>
      </c>
      <c r="F362" s="51">
        <f t="shared" si="38"/>
        <v>0</v>
      </c>
      <c r="G362" s="147"/>
      <c r="H362" s="135"/>
      <c r="I362" s="135"/>
      <c r="J362" s="135"/>
      <c r="K362" s="135"/>
      <c r="L362" s="51">
        <f t="shared" si="39"/>
        <v>0</v>
      </c>
      <c r="M362" s="332">
        <v>0</v>
      </c>
      <c r="N362" s="147"/>
      <c r="O362" s="145"/>
      <c r="P362" s="145"/>
      <c r="Q362" s="337"/>
      <c r="R362" s="145"/>
      <c r="S362" s="147"/>
      <c r="T362" s="145"/>
      <c r="U362" s="338">
        <v>0</v>
      </c>
      <c r="V362" s="145">
        <v>0</v>
      </c>
      <c r="W362" s="145"/>
      <c r="X362" s="137"/>
    </row>
    <row r="363" spans="1:24" s="521" customFormat="1" hidden="1">
      <c r="A363" s="142">
        <v>6</v>
      </c>
      <c r="B363" s="319" t="s">
        <v>34</v>
      </c>
      <c r="C363" s="319"/>
      <c r="D363" s="335" t="s">
        <v>117</v>
      </c>
      <c r="E363" s="51">
        <f t="shared" si="37"/>
        <v>216800</v>
      </c>
      <c r="F363" s="51">
        <f t="shared" si="38"/>
        <v>0</v>
      </c>
      <c r="G363" s="147"/>
      <c r="H363" s="135"/>
      <c r="I363" s="135"/>
      <c r="J363" s="135"/>
      <c r="K363" s="135"/>
      <c r="L363" s="51">
        <f t="shared" si="39"/>
        <v>216800</v>
      </c>
      <c r="M363" s="332">
        <v>14400</v>
      </c>
      <c r="N363" s="147"/>
      <c r="O363" s="145"/>
      <c r="P363" s="145">
        <v>9000</v>
      </c>
      <c r="Q363" s="337">
        <v>14400</v>
      </c>
      <c r="R363" s="145"/>
      <c r="S363" s="147"/>
      <c r="T363" s="145">
        <v>27900</v>
      </c>
      <c r="U363" s="336">
        <v>81200</v>
      </c>
      <c r="V363" s="145">
        <v>45000</v>
      </c>
      <c r="W363" s="145">
        <v>16800</v>
      </c>
      <c r="X363" s="137">
        <v>8100</v>
      </c>
    </row>
    <row r="364" spans="1:24" s="521" customFormat="1" ht="22.5" hidden="1">
      <c r="A364" s="142">
        <v>7</v>
      </c>
      <c r="B364" s="319" t="s">
        <v>34</v>
      </c>
      <c r="C364" s="319"/>
      <c r="D364" s="335" t="s">
        <v>118</v>
      </c>
      <c r="E364" s="51">
        <f t="shared" si="37"/>
        <v>65400</v>
      </c>
      <c r="F364" s="51">
        <f t="shared" si="38"/>
        <v>0</v>
      </c>
      <c r="G364" s="147"/>
      <c r="H364" s="135"/>
      <c r="I364" s="135"/>
      <c r="J364" s="135"/>
      <c r="K364" s="135"/>
      <c r="L364" s="51">
        <f t="shared" si="39"/>
        <v>65400</v>
      </c>
      <c r="M364" s="332">
        <v>0</v>
      </c>
      <c r="N364" s="147"/>
      <c r="O364" s="145"/>
      <c r="P364" s="145"/>
      <c r="Q364" s="152"/>
      <c r="R364" s="145">
        <v>54000</v>
      </c>
      <c r="S364" s="147">
        <v>2400</v>
      </c>
      <c r="T364" s="145"/>
      <c r="U364" s="338">
        <v>0</v>
      </c>
      <c r="V364" s="145"/>
      <c r="W364" s="145">
        <v>9000</v>
      </c>
      <c r="X364" s="137"/>
    </row>
    <row r="365" spans="1:24" s="521" customFormat="1" ht="22.5" hidden="1">
      <c r="A365" s="142">
        <v>8</v>
      </c>
      <c r="B365" s="319" t="s">
        <v>34</v>
      </c>
      <c r="C365" s="319"/>
      <c r="D365" s="335" t="s">
        <v>119</v>
      </c>
      <c r="E365" s="51">
        <f t="shared" si="37"/>
        <v>170400</v>
      </c>
      <c r="F365" s="51">
        <f t="shared" si="38"/>
        <v>170400</v>
      </c>
      <c r="G365" s="147">
        <v>170400</v>
      </c>
      <c r="H365" s="135"/>
      <c r="I365" s="135"/>
      <c r="J365" s="135"/>
      <c r="K365" s="135"/>
      <c r="L365" s="51">
        <f t="shared" si="39"/>
        <v>0</v>
      </c>
      <c r="M365" s="332">
        <v>0</v>
      </c>
      <c r="N365" s="147"/>
      <c r="O365" s="147"/>
      <c r="P365" s="147">
        <v>0</v>
      </c>
      <c r="Q365" s="152"/>
      <c r="R365" s="145"/>
      <c r="S365" s="147">
        <v>0</v>
      </c>
      <c r="T365" s="145"/>
      <c r="U365" s="334">
        <v>0</v>
      </c>
      <c r="V365" s="145">
        <v>0</v>
      </c>
      <c r="W365" s="145">
        <v>0</v>
      </c>
      <c r="X365" s="137"/>
    </row>
    <row r="366" spans="1:24" s="521" customFormat="1" ht="22.5" hidden="1">
      <c r="A366" s="142">
        <v>9</v>
      </c>
      <c r="B366" s="319" t="s">
        <v>34</v>
      </c>
      <c r="C366" s="319"/>
      <c r="D366" s="335" t="s">
        <v>120</v>
      </c>
      <c r="E366" s="51">
        <f t="shared" si="37"/>
        <v>29160</v>
      </c>
      <c r="F366" s="51">
        <f t="shared" si="38"/>
        <v>0</v>
      </c>
      <c r="G366" s="147"/>
      <c r="H366" s="135"/>
      <c r="I366" s="135"/>
      <c r="J366" s="135"/>
      <c r="K366" s="135"/>
      <c r="L366" s="51">
        <f t="shared" si="39"/>
        <v>29160</v>
      </c>
      <c r="M366" s="332"/>
      <c r="N366" s="147">
        <v>3000</v>
      </c>
      <c r="O366" s="147"/>
      <c r="P366" s="147"/>
      <c r="Q366" s="152">
        <v>8000</v>
      </c>
      <c r="R366" s="145"/>
      <c r="S366" s="147">
        <v>9500</v>
      </c>
      <c r="T366" s="145"/>
      <c r="U366" s="334">
        <v>0</v>
      </c>
      <c r="V366" s="145">
        <v>0</v>
      </c>
      <c r="W366" s="145">
        <v>8000</v>
      </c>
      <c r="X366" s="137">
        <v>660</v>
      </c>
    </row>
    <row r="367" spans="1:24" s="521" customFormat="1" hidden="1">
      <c r="A367" s="142">
        <v>11</v>
      </c>
      <c r="B367" s="319" t="s">
        <v>34</v>
      </c>
      <c r="C367" s="319"/>
      <c r="D367" s="335" t="s">
        <v>121</v>
      </c>
      <c r="E367" s="51">
        <f t="shared" si="37"/>
        <v>270210</v>
      </c>
      <c r="F367" s="51">
        <f t="shared" si="38"/>
        <v>180000</v>
      </c>
      <c r="G367" s="147">
        <v>180000</v>
      </c>
      <c r="H367" s="135"/>
      <c r="I367" s="135"/>
      <c r="J367" s="135"/>
      <c r="K367" s="135"/>
      <c r="L367" s="51">
        <f t="shared" si="39"/>
        <v>90210</v>
      </c>
      <c r="M367" s="332">
        <v>1920</v>
      </c>
      <c r="N367" s="147">
        <v>3500</v>
      </c>
      <c r="O367" s="147">
        <v>1600</v>
      </c>
      <c r="P367" s="147">
        <v>4800</v>
      </c>
      <c r="Q367" s="152">
        <v>9296</v>
      </c>
      <c r="R367" s="145">
        <v>1280</v>
      </c>
      <c r="S367" s="147">
        <v>7600</v>
      </c>
      <c r="T367" s="145">
        <v>4000</v>
      </c>
      <c r="U367" s="336">
        <v>46254</v>
      </c>
      <c r="V367" s="145">
        <v>4000</v>
      </c>
      <c r="W367" s="145">
        <v>2520</v>
      </c>
      <c r="X367" s="137">
        <v>3440</v>
      </c>
    </row>
    <row r="368" spans="1:24" s="521" customFormat="1" ht="45" hidden="1">
      <c r="A368" s="142">
        <v>13</v>
      </c>
      <c r="B368" s="319" t="s">
        <v>34</v>
      </c>
      <c r="C368" s="319"/>
      <c r="D368" s="180" t="s">
        <v>122</v>
      </c>
      <c r="E368" s="51">
        <f t="shared" si="37"/>
        <v>17880</v>
      </c>
      <c r="F368" s="51">
        <f t="shared" si="38"/>
        <v>0</v>
      </c>
      <c r="G368" s="147"/>
      <c r="H368" s="135"/>
      <c r="I368" s="135"/>
      <c r="J368" s="135"/>
      <c r="K368" s="135"/>
      <c r="L368" s="51">
        <f t="shared" si="39"/>
        <v>17880</v>
      </c>
      <c r="M368" s="332">
        <v>0</v>
      </c>
      <c r="N368" s="147"/>
      <c r="O368" s="147"/>
      <c r="P368" s="147"/>
      <c r="Q368" s="152"/>
      <c r="R368" s="145">
        <v>7200</v>
      </c>
      <c r="S368" s="147"/>
      <c r="T368" s="145">
        <v>5280</v>
      </c>
      <c r="U368" s="334">
        <v>0</v>
      </c>
      <c r="V368" s="145">
        <v>0</v>
      </c>
      <c r="W368" s="145">
        <v>5400</v>
      </c>
      <c r="X368" s="137"/>
    </row>
    <row r="369" spans="1:24" s="521" customFormat="1" ht="22.5" hidden="1">
      <c r="A369" s="142">
        <v>14</v>
      </c>
      <c r="B369" s="319" t="s">
        <v>34</v>
      </c>
      <c r="C369" s="319"/>
      <c r="D369" s="180" t="s">
        <v>407</v>
      </c>
      <c r="E369" s="51">
        <f t="shared" si="37"/>
        <v>52400</v>
      </c>
      <c r="F369" s="51">
        <f t="shared" si="38"/>
        <v>0</v>
      </c>
      <c r="G369" s="147"/>
      <c r="H369" s="135"/>
      <c r="I369" s="135"/>
      <c r="J369" s="135"/>
      <c r="K369" s="135"/>
      <c r="L369" s="51">
        <f t="shared" si="39"/>
        <v>52400</v>
      </c>
      <c r="M369" s="332">
        <v>16000</v>
      </c>
      <c r="N369" s="147"/>
      <c r="O369" s="147">
        <v>3000</v>
      </c>
      <c r="P369" s="147"/>
      <c r="Q369" s="152"/>
      <c r="R369" s="145"/>
      <c r="S369" s="147"/>
      <c r="T369" s="145">
        <v>16400</v>
      </c>
      <c r="U369" s="334">
        <v>0</v>
      </c>
      <c r="V369" s="145">
        <v>0</v>
      </c>
      <c r="W369" s="145">
        <v>17000</v>
      </c>
      <c r="X369" s="137"/>
    </row>
    <row r="370" spans="1:24" s="521" customFormat="1" hidden="1">
      <c r="A370" s="142">
        <v>16</v>
      </c>
      <c r="B370" s="319" t="s">
        <v>34</v>
      </c>
      <c r="C370" s="319"/>
      <c r="D370" s="339" t="s">
        <v>123</v>
      </c>
      <c r="E370" s="51">
        <f t="shared" si="37"/>
        <v>116644</v>
      </c>
      <c r="F370" s="51">
        <f t="shared" si="38"/>
        <v>20000</v>
      </c>
      <c r="G370" s="147">
        <v>20000</v>
      </c>
      <c r="H370" s="135"/>
      <c r="I370" s="135"/>
      <c r="J370" s="135"/>
      <c r="K370" s="135"/>
      <c r="L370" s="51">
        <f t="shared" si="39"/>
        <v>96644</v>
      </c>
      <c r="M370" s="332">
        <v>3800</v>
      </c>
      <c r="N370" s="147"/>
      <c r="O370" s="147"/>
      <c r="P370" s="147"/>
      <c r="Q370" s="337">
        <v>32694</v>
      </c>
      <c r="R370" s="145">
        <v>5900</v>
      </c>
      <c r="S370" s="147">
        <v>30240</v>
      </c>
      <c r="T370" s="145"/>
      <c r="U370" s="334">
        <v>2760</v>
      </c>
      <c r="V370" s="145">
        <v>5960</v>
      </c>
      <c r="W370" s="145">
        <v>6690</v>
      </c>
      <c r="X370" s="137">
        <v>8600</v>
      </c>
    </row>
    <row r="371" spans="1:24" s="521" customFormat="1" hidden="1">
      <c r="A371" s="142">
        <v>19</v>
      </c>
      <c r="B371" s="319" t="s">
        <v>34</v>
      </c>
      <c r="C371" s="319"/>
      <c r="D371" s="339" t="s">
        <v>124</v>
      </c>
      <c r="E371" s="51">
        <f t="shared" si="37"/>
        <v>348910</v>
      </c>
      <c r="F371" s="51">
        <f t="shared" si="38"/>
        <v>0</v>
      </c>
      <c r="G371" s="147"/>
      <c r="H371" s="135"/>
      <c r="I371" s="135"/>
      <c r="J371" s="135"/>
      <c r="K371" s="135"/>
      <c r="L371" s="51">
        <f t="shared" si="39"/>
        <v>348910</v>
      </c>
      <c r="M371" s="332">
        <v>16000</v>
      </c>
      <c r="N371" s="147">
        <v>11000</v>
      </c>
      <c r="O371" s="147">
        <v>40000</v>
      </c>
      <c r="P371" s="147">
        <v>7500</v>
      </c>
      <c r="Q371" s="152"/>
      <c r="R371" s="145">
        <v>30000</v>
      </c>
      <c r="S371" s="147">
        <v>100000</v>
      </c>
      <c r="T371" s="145">
        <v>56500</v>
      </c>
      <c r="U371" s="336">
        <v>32000</v>
      </c>
      <c r="V371" s="145">
        <v>16000</v>
      </c>
      <c r="W371" s="145">
        <v>23400</v>
      </c>
      <c r="X371" s="137">
        <v>16510</v>
      </c>
    </row>
    <row r="372" spans="1:24" s="521" customFormat="1" ht="33.75" hidden="1">
      <c r="A372" s="142">
        <v>21</v>
      </c>
      <c r="B372" s="319" t="s">
        <v>34</v>
      </c>
      <c r="C372" s="319"/>
      <c r="D372" s="180" t="s">
        <v>408</v>
      </c>
      <c r="E372" s="51">
        <f t="shared" si="37"/>
        <v>106000</v>
      </c>
      <c r="F372" s="51">
        <f t="shared" si="38"/>
        <v>106000</v>
      </c>
      <c r="G372" s="147">
        <v>106000</v>
      </c>
      <c r="H372" s="135"/>
      <c r="I372" s="135"/>
      <c r="J372" s="135"/>
      <c r="K372" s="135"/>
      <c r="L372" s="51">
        <f t="shared" si="39"/>
        <v>0</v>
      </c>
      <c r="M372" s="332"/>
      <c r="N372" s="147">
        <v>0</v>
      </c>
      <c r="O372" s="147">
        <v>0</v>
      </c>
      <c r="P372" s="147">
        <v>0</v>
      </c>
      <c r="Q372" s="152">
        <v>0</v>
      </c>
      <c r="R372" s="145">
        <v>0</v>
      </c>
      <c r="S372" s="147">
        <v>0</v>
      </c>
      <c r="T372" s="145">
        <v>0</v>
      </c>
      <c r="U372" s="334">
        <v>0</v>
      </c>
      <c r="V372" s="145">
        <v>0</v>
      </c>
      <c r="W372" s="340">
        <v>0</v>
      </c>
      <c r="X372" s="137">
        <v>0</v>
      </c>
    </row>
    <row r="373" spans="1:24" s="521" customFormat="1" ht="22.5" hidden="1">
      <c r="A373" s="142">
        <v>22</v>
      </c>
      <c r="B373" s="319" t="s">
        <v>34</v>
      </c>
      <c r="C373" s="319"/>
      <c r="D373" s="180" t="s">
        <v>409</v>
      </c>
      <c r="E373" s="51">
        <f t="shared" si="37"/>
        <v>44300</v>
      </c>
      <c r="F373" s="51">
        <f t="shared" si="38"/>
        <v>20000</v>
      </c>
      <c r="G373" s="147">
        <v>20000</v>
      </c>
      <c r="H373" s="135"/>
      <c r="I373" s="135"/>
      <c r="J373" s="135"/>
      <c r="K373" s="135"/>
      <c r="L373" s="51">
        <f t="shared" si="39"/>
        <v>24300</v>
      </c>
      <c r="M373" s="341">
        <v>0</v>
      </c>
      <c r="N373" s="147"/>
      <c r="O373" s="342">
        <v>7200</v>
      </c>
      <c r="P373" s="342"/>
      <c r="Q373" s="152"/>
      <c r="R373" s="343"/>
      <c r="S373" s="147">
        <v>17100</v>
      </c>
      <c r="T373" s="145"/>
      <c r="U373" s="344">
        <v>0</v>
      </c>
      <c r="V373" s="343">
        <v>0</v>
      </c>
      <c r="W373" s="522"/>
      <c r="X373" s="345"/>
    </row>
    <row r="374" spans="1:24" s="521" customFormat="1" ht="22.5" hidden="1">
      <c r="A374" s="142">
        <v>23</v>
      </c>
      <c r="B374" s="319" t="s">
        <v>34</v>
      </c>
      <c r="C374" s="319"/>
      <c r="D374" s="346" t="s">
        <v>215</v>
      </c>
      <c r="E374" s="51">
        <f t="shared" si="37"/>
        <v>81485</v>
      </c>
      <c r="F374" s="51">
        <f t="shared" si="38"/>
        <v>0</v>
      </c>
      <c r="G374" s="147"/>
      <c r="H374" s="135"/>
      <c r="I374" s="135"/>
      <c r="J374" s="135"/>
      <c r="K374" s="135"/>
      <c r="L374" s="51">
        <f t="shared" si="39"/>
        <v>81485</v>
      </c>
      <c r="M374" s="341">
        <v>16000</v>
      </c>
      <c r="N374" s="147"/>
      <c r="O374" s="342"/>
      <c r="P374" s="342"/>
      <c r="Q374" s="337">
        <v>5000</v>
      </c>
      <c r="R374" s="343">
        <v>2135</v>
      </c>
      <c r="S374" s="147">
        <v>9000</v>
      </c>
      <c r="T374" s="145">
        <v>7850</v>
      </c>
      <c r="U374" s="344">
        <v>20000</v>
      </c>
      <c r="V374" s="343">
        <v>10000</v>
      </c>
      <c r="W374" s="343">
        <v>11500</v>
      </c>
      <c r="X374" s="345"/>
    </row>
    <row r="375" spans="1:24" s="521" customFormat="1" ht="45" hidden="1">
      <c r="A375" s="142">
        <v>24</v>
      </c>
      <c r="B375" s="319" t="s">
        <v>34</v>
      </c>
      <c r="C375" s="319"/>
      <c r="D375" s="576" t="s">
        <v>410</v>
      </c>
      <c r="E375" s="51">
        <f t="shared" si="37"/>
        <v>114400</v>
      </c>
      <c r="F375" s="51">
        <f t="shared" si="38"/>
        <v>40000</v>
      </c>
      <c r="G375" s="147">
        <v>40000</v>
      </c>
      <c r="H375" s="135"/>
      <c r="I375" s="135"/>
      <c r="J375" s="135"/>
      <c r="K375" s="135"/>
      <c r="L375" s="51">
        <f t="shared" si="39"/>
        <v>74400</v>
      </c>
      <c r="M375" s="341">
        <v>3400</v>
      </c>
      <c r="N375" s="147"/>
      <c r="O375" s="342">
        <v>33200</v>
      </c>
      <c r="P375" s="342"/>
      <c r="Q375" s="337"/>
      <c r="R375" s="343"/>
      <c r="S375" s="147">
        <v>4000</v>
      </c>
      <c r="T375" s="145">
        <v>2500</v>
      </c>
      <c r="U375" s="336">
        <v>17000</v>
      </c>
      <c r="V375" s="343">
        <v>8500</v>
      </c>
      <c r="W375" s="343">
        <v>800</v>
      </c>
      <c r="X375" s="137">
        <v>5000</v>
      </c>
    </row>
    <row r="376" spans="1:24" s="521" customFormat="1" ht="33.75" hidden="1">
      <c r="A376" s="142">
        <v>25</v>
      </c>
      <c r="B376" s="319" t="s">
        <v>34</v>
      </c>
      <c r="C376" s="319"/>
      <c r="D376" s="570" t="s">
        <v>411</v>
      </c>
      <c r="E376" s="51">
        <f t="shared" si="37"/>
        <v>219350</v>
      </c>
      <c r="F376" s="51">
        <f t="shared" si="38"/>
        <v>30000</v>
      </c>
      <c r="G376" s="147">
        <v>30000</v>
      </c>
      <c r="H376" s="135"/>
      <c r="I376" s="135"/>
      <c r="J376" s="135"/>
      <c r="K376" s="135"/>
      <c r="L376" s="51">
        <f t="shared" si="39"/>
        <v>189350</v>
      </c>
      <c r="M376" s="341">
        <v>20000</v>
      </c>
      <c r="N376" s="147"/>
      <c r="O376" s="342"/>
      <c r="P376" s="342">
        <v>80550</v>
      </c>
      <c r="Q376" s="337">
        <v>12300</v>
      </c>
      <c r="R376" s="343"/>
      <c r="S376" s="147"/>
      <c r="T376" s="145"/>
      <c r="U376" s="336">
        <v>46000</v>
      </c>
      <c r="V376" s="343">
        <v>23000</v>
      </c>
      <c r="W376" s="343">
        <v>7500</v>
      </c>
      <c r="X376" s="137"/>
    </row>
    <row r="377" spans="1:24" s="521" customFormat="1" hidden="1">
      <c r="A377" s="142">
        <v>26</v>
      </c>
      <c r="B377" s="319" t="s">
        <v>34</v>
      </c>
      <c r="C377" s="319"/>
      <c r="D377" s="106" t="s">
        <v>292</v>
      </c>
      <c r="E377" s="51">
        <f t="shared" si="37"/>
        <v>4000</v>
      </c>
      <c r="F377" s="51">
        <f t="shared" si="38"/>
        <v>0</v>
      </c>
      <c r="G377" s="147"/>
      <c r="H377" s="135"/>
      <c r="I377" s="135"/>
      <c r="J377" s="135"/>
      <c r="K377" s="135"/>
      <c r="L377" s="51">
        <f t="shared" si="39"/>
        <v>4000</v>
      </c>
      <c r="M377" s="341"/>
      <c r="N377" s="147"/>
      <c r="O377" s="342"/>
      <c r="P377" s="342"/>
      <c r="Q377" s="337"/>
      <c r="R377" s="343"/>
      <c r="S377" s="147"/>
      <c r="T377" s="145"/>
      <c r="U377" s="336">
        <v>0</v>
      </c>
      <c r="V377" s="343"/>
      <c r="W377" s="343">
        <v>4000</v>
      </c>
      <c r="X377" s="137"/>
    </row>
    <row r="378" spans="1:24" s="521" customFormat="1" hidden="1">
      <c r="A378" s="142">
        <v>27</v>
      </c>
      <c r="B378" s="319" t="s">
        <v>34</v>
      </c>
      <c r="C378" s="319"/>
      <c r="D378" s="106" t="s">
        <v>291</v>
      </c>
      <c r="E378" s="51">
        <f t="shared" si="37"/>
        <v>700</v>
      </c>
      <c r="F378" s="51">
        <f t="shared" si="38"/>
        <v>0</v>
      </c>
      <c r="G378" s="147"/>
      <c r="H378" s="135"/>
      <c r="I378" s="135"/>
      <c r="J378" s="135"/>
      <c r="K378" s="135"/>
      <c r="L378" s="51">
        <f t="shared" si="39"/>
        <v>700</v>
      </c>
      <c r="M378" s="341"/>
      <c r="N378" s="147"/>
      <c r="O378" s="342"/>
      <c r="P378" s="342"/>
      <c r="Q378" s="337"/>
      <c r="R378" s="343"/>
      <c r="S378" s="147"/>
      <c r="T378" s="145"/>
      <c r="U378" s="336">
        <v>0</v>
      </c>
      <c r="V378" s="343"/>
      <c r="W378" s="343">
        <v>700</v>
      </c>
      <c r="X378" s="137"/>
    </row>
    <row r="379" spans="1:24" s="521" customFormat="1" hidden="1">
      <c r="A379" s="347" t="s">
        <v>260</v>
      </c>
      <c r="B379" s="318" t="s">
        <v>34</v>
      </c>
      <c r="C379" s="318"/>
      <c r="D379" s="348" t="s">
        <v>130</v>
      </c>
      <c r="E379" s="51">
        <f t="shared" si="37"/>
        <v>606060</v>
      </c>
      <c r="F379" s="51">
        <f t="shared" si="38"/>
        <v>457000</v>
      </c>
      <c r="G379" s="349">
        <f>SUM(G380:G384)</f>
        <v>457000</v>
      </c>
      <c r="H379" s="349">
        <f t="shared" ref="H379:X379" si="42">SUM(H380:H384)</f>
        <v>0</v>
      </c>
      <c r="I379" s="349">
        <f t="shared" si="42"/>
        <v>0</v>
      </c>
      <c r="J379" s="349">
        <f t="shared" si="42"/>
        <v>0</v>
      </c>
      <c r="K379" s="349">
        <f t="shared" si="42"/>
        <v>0</v>
      </c>
      <c r="L379" s="51">
        <f t="shared" si="39"/>
        <v>149060</v>
      </c>
      <c r="M379" s="349">
        <f t="shared" si="42"/>
        <v>10100</v>
      </c>
      <c r="N379" s="349">
        <f t="shared" si="42"/>
        <v>3000</v>
      </c>
      <c r="O379" s="349">
        <f t="shared" si="42"/>
        <v>3000</v>
      </c>
      <c r="P379" s="349">
        <f t="shared" si="42"/>
        <v>13450</v>
      </c>
      <c r="Q379" s="349">
        <f t="shared" si="42"/>
        <v>3500</v>
      </c>
      <c r="R379" s="349">
        <f t="shared" si="42"/>
        <v>21530</v>
      </c>
      <c r="S379" s="349">
        <f t="shared" si="42"/>
        <v>15020</v>
      </c>
      <c r="T379" s="349">
        <f t="shared" si="42"/>
        <v>12920</v>
      </c>
      <c r="U379" s="349">
        <f t="shared" si="42"/>
        <v>14160</v>
      </c>
      <c r="V379" s="349">
        <f t="shared" si="42"/>
        <v>26200</v>
      </c>
      <c r="W379" s="349">
        <f t="shared" si="42"/>
        <v>7000</v>
      </c>
      <c r="X379" s="349">
        <f t="shared" si="42"/>
        <v>19180</v>
      </c>
    </row>
    <row r="380" spans="1:24" s="521" customFormat="1" ht="33.75" hidden="1">
      <c r="A380" s="142">
        <v>1</v>
      </c>
      <c r="B380" s="319" t="s">
        <v>34</v>
      </c>
      <c r="C380" s="319"/>
      <c r="D380" s="350" t="s">
        <v>125</v>
      </c>
      <c r="E380" s="51">
        <f t="shared" si="37"/>
        <v>119000</v>
      </c>
      <c r="F380" s="51">
        <f t="shared" si="38"/>
        <v>119000</v>
      </c>
      <c r="G380" s="147">
        <v>119000</v>
      </c>
      <c r="H380" s="135"/>
      <c r="I380" s="135"/>
      <c r="J380" s="135"/>
      <c r="K380" s="135"/>
      <c r="L380" s="51">
        <f t="shared" si="39"/>
        <v>0</v>
      </c>
      <c r="M380" s="341"/>
      <c r="N380" s="342"/>
      <c r="O380" s="135"/>
      <c r="P380" s="342"/>
      <c r="Q380" s="152"/>
      <c r="R380" s="343"/>
      <c r="S380" s="147"/>
      <c r="T380" s="145"/>
      <c r="U380" s="344"/>
      <c r="V380" s="343"/>
      <c r="W380" s="343"/>
      <c r="X380" s="345"/>
    </row>
    <row r="381" spans="1:24" s="521" customFormat="1" ht="22.5" hidden="1">
      <c r="A381" s="142">
        <v>3</v>
      </c>
      <c r="B381" s="319" t="s">
        <v>34</v>
      </c>
      <c r="C381" s="319"/>
      <c r="D381" s="351" t="s">
        <v>126</v>
      </c>
      <c r="E381" s="51">
        <f t="shared" si="37"/>
        <v>268000</v>
      </c>
      <c r="F381" s="51">
        <f t="shared" si="38"/>
        <v>268000</v>
      </c>
      <c r="G381" s="147">
        <v>268000</v>
      </c>
      <c r="H381" s="135"/>
      <c r="I381" s="135"/>
      <c r="J381" s="135"/>
      <c r="K381" s="135"/>
      <c r="L381" s="51">
        <f t="shared" si="39"/>
        <v>0</v>
      </c>
      <c r="M381" s="341">
        <v>0</v>
      </c>
      <c r="N381" s="342">
        <v>0</v>
      </c>
      <c r="O381" s="135">
        <v>0</v>
      </c>
      <c r="P381" s="342">
        <v>0</v>
      </c>
      <c r="Q381" s="152">
        <v>0</v>
      </c>
      <c r="R381" s="343">
        <v>0</v>
      </c>
      <c r="S381" s="147"/>
      <c r="T381" s="145">
        <v>0</v>
      </c>
      <c r="U381" s="344">
        <v>0</v>
      </c>
      <c r="V381" s="343">
        <v>0</v>
      </c>
      <c r="W381" s="343">
        <v>0</v>
      </c>
      <c r="X381" s="345">
        <v>0</v>
      </c>
    </row>
    <row r="382" spans="1:24" s="521" customFormat="1" hidden="1">
      <c r="A382" s="142">
        <v>4</v>
      </c>
      <c r="B382" s="319" t="s">
        <v>34</v>
      </c>
      <c r="C382" s="319"/>
      <c r="D382" s="350" t="s">
        <v>127</v>
      </c>
      <c r="E382" s="51">
        <f t="shared" si="37"/>
        <v>116950</v>
      </c>
      <c r="F382" s="51">
        <f t="shared" si="38"/>
        <v>50000</v>
      </c>
      <c r="G382" s="147">
        <v>50000</v>
      </c>
      <c r="H382" s="135"/>
      <c r="I382" s="135"/>
      <c r="J382" s="135"/>
      <c r="K382" s="135"/>
      <c r="L382" s="51">
        <f t="shared" si="39"/>
        <v>66950</v>
      </c>
      <c r="M382" s="341"/>
      <c r="N382" s="342"/>
      <c r="O382" s="135"/>
      <c r="P382" s="342">
        <v>9950</v>
      </c>
      <c r="Q382" s="152"/>
      <c r="R382" s="343">
        <v>5900</v>
      </c>
      <c r="S382" s="147">
        <v>6720</v>
      </c>
      <c r="T382" s="343">
        <v>3720</v>
      </c>
      <c r="U382" s="344">
        <v>7400</v>
      </c>
      <c r="V382" s="343">
        <v>18480</v>
      </c>
      <c r="W382" s="343">
        <v>1500</v>
      </c>
      <c r="X382" s="345">
        <v>13280</v>
      </c>
    </row>
    <row r="383" spans="1:24" s="521" customFormat="1" ht="22.5" hidden="1">
      <c r="A383" s="142">
        <v>5</v>
      </c>
      <c r="B383" s="319" t="s">
        <v>34</v>
      </c>
      <c r="C383" s="319"/>
      <c r="D383" s="352" t="s">
        <v>128</v>
      </c>
      <c r="E383" s="51">
        <f t="shared" si="37"/>
        <v>39610</v>
      </c>
      <c r="F383" s="51">
        <f t="shared" si="38"/>
        <v>0</v>
      </c>
      <c r="G383" s="147"/>
      <c r="H383" s="135"/>
      <c r="I383" s="135"/>
      <c r="J383" s="135"/>
      <c r="K383" s="135"/>
      <c r="L383" s="51">
        <f t="shared" si="39"/>
        <v>39610</v>
      </c>
      <c r="M383" s="341">
        <v>6100</v>
      </c>
      <c r="N383" s="342"/>
      <c r="O383" s="135"/>
      <c r="P383" s="343"/>
      <c r="Q383" s="152"/>
      <c r="R383" s="343">
        <v>10630</v>
      </c>
      <c r="S383" s="147">
        <v>4800</v>
      </c>
      <c r="T383" s="343">
        <v>5200</v>
      </c>
      <c r="U383" s="344">
        <v>2760</v>
      </c>
      <c r="V383" s="343">
        <v>4720</v>
      </c>
      <c r="W383" s="343">
        <v>2500</v>
      </c>
      <c r="X383" s="345">
        <v>2900</v>
      </c>
    </row>
    <row r="384" spans="1:24" s="521" customFormat="1" ht="22.5" hidden="1">
      <c r="A384" s="142">
        <v>6</v>
      </c>
      <c r="B384" s="319" t="s">
        <v>34</v>
      </c>
      <c r="C384" s="319"/>
      <c r="D384" s="106" t="s">
        <v>412</v>
      </c>
      <c r="E384" s="51">
        <f t="shared" si="37"/>
        <v>62500</v>
      </c>
      <c r="F384" s="51">
        <f t="shared" si="38"/>
        <v>20000</v>
      </c>
      <c r="G384" s="147">
        <v>20000</v>
      </c>
      <c r="H384" s="135"/>
      <c r="I384" s="135"/>
      <c r="J384" s="135"/>
      <c r="K384" s="135"/>
      <c r="L384" s="51">
        <f t="shared" si="39"/>
        <v>42500</v>
      </c>
      <c r="M384" s="341">
        <v>4000</v>
      </c>
      <c r="N384" s="342">
        <v>3000</v>
      </c>
      <c r="O384" s="135">
        <v>3000</v>
      </c>
      <c r="P384" s="343">
        <v>3500</v>
      </c>
      <c r="Q384" s="152">
        <v>3500</v>
      </c>
      <c r="R384" s="343">
        <v>5000</v>
      </c>
      <c r="S384" s="147">
        <v>3500</v>
      </c>
      <c r="T384" s="343">
        <v>4000</v>
      </c>
      <c r="U384" s="344">
        <v>4000</v>
      </c>
      <c r="V384" s="343">
        <v>3000</v>
      </c>
      <c r="W384" s="343">
        <v>3000</v>
      </c>
      <c r="X384" s="345">
        <v>3000</v>
      </c>
    </row>
    <row r="385" spans="1:24" s="35" customFormat="1" ht="10.5" hidden="1">
      <c r="A385" s="95">
        <v>10</v>
      </c>
      <c r="B385" s="318" t="s">
        <v>34</v>
      </c>
      <c r="C385" s="318"/>
      <c r="D385" s="129" t="s">
        <v>238</v>
      </c>
      <c r="E385" s="51">
        <f t="shared" si="37"/>
        <v>1246776.5</v>
      </c>
      <c r="F385" s="51">
        <f t="shared" si="38"/>
        <v>500000</v>
      </c>
      <c r="G385" s="96">
        <f>G386+G392+G402</f>
        <v>500000</v>
      </c>
      <c r="H385" s="96">
        <f>H386+H402</f>
        <v>0</v>
      </c>
      <c r="I385" s="96">
        <f>I386+I402</f>
        <v>0</v>
      </c>
      <c r="J385" s="96">
        <f>J386+J402</f>
        <v>0</v>
      </c>
      <c r="K385" s="96">
        <f>K386+K402</f>
        <v>0</v>
      </c>
      <c r="L385" s="51">
        <f t="shared" si="39"/>
        <v>746776.5</v>
      </c>
      <c r="M385" s="96">
        <f>M386+M392+M402</f>
        <v>123400</v>
      </c>
      <c r="N385" s="96">
        <f t="shared" ref="N385:X385" si="43">N386+N392+N402</f>
        <v>117600</v>
      </c>
      <c r="O385" s="96">
        <f t="shared" si="43"/>
        <v>8700</v>
      </c>
      <c r="P385" s="96">
        <f t="shared" si="43"/>
        <v>47709.5</v>
      </c>
      <c r="Q385" s="96">
        <f t="shared" si="43"/>
        <v>74380</v>
      </c>
      <c r="R385" s="96">
        <f t="shared" si="43"/>
        <v>52800</v>
      </c>
      <c r="S385" s="96">
        <f t="shared" si="43"/>
        <v>4547</v>
      </c>
      <c r="T385" s="96">
        <f t="shared" si="43"/>
        <v>32440</v>
      </c>
      <c r="U385" s="96">
        <f t="shared" si="43"/>
        <v>41826</v>
      </c>
      <c r="V385" s="96">
        <f t="shared" si="43"/>
        <v>50210</v>
      </c>
      <c r="W385" s="96">
        <f t="shared" si="43"/>
        <v>101964</v>
      </c>
      <c r="X385" s="96">
        <f t="shared" si="43"/>
        <v>91200</v>
      </c>
    </row>
    <row r="386" spans="1:24" s="3" customFormat="1" ht="31.5" hidden="1">
      <c r="A386" s="353" t="s">
        <v>583</v>
      </c>
      <c r="B386" s="319" t="s">
        <v>34</v>
      </c>
      <c r="C386" s="319"/>
      <c r="D386" s="218" t="s">
        <v>28</v>
      </c>
      <c r="E386" s="51">
        <f t="shared" si="37"/>
        <v>50000</v>
      </c>
      <c r="F386" s="51">
        <f t="shared" si="38"/>
        <v>50000</v>
      </c>
      <c r="G386" s="101">
        <f>SUM(G387:G391)</f>
        <v>50000</v>
      </c>
      <c r="H386" s="101">
        <f t="shared" ref="H386:K386" si="44">SUM(H387:H391)</f>
        <v>0</v>
      </c>
      <c r="I386" s="101">
        <f t="shared" si="44"/>
        <v>0</v>
      </c>
      <c r="J386" s="101">
        <f t="shared" si="44"/>
        <v>0</v>
      </c>
      <c r="K386" s="101">
        <f t="shared" si="44"/>
        <v>0</v>
      </c>
      <c r="L386" s="51">
        <f t="shared" si="39"/>
        <v>0</v>
      </c>
      <c r="M386" s="101">
        <f t="shared" ref="M386:X386" si="45">SUM(M387:M391)</f>
        <v>0</v>
      </c>
      <c r="N386" s="101">
        <f t="shared" si="45"/>
        <v>0</v>
      </c>
      <c r="O386" s="101">
        <f t="shared" si="45"/>
        <v>0</v>
      </c>
      <c r="P386" s="101">
        <f t="shared" si="45"/>
        <v>0</v>
      </c>
      <c r="Q386" s="101">
        <f t="shared" si="45"/>
        <v>0</v>
      </c>
      <c r="R386" s="101">
        <f t="shared" si="45"/>
        <v>0</v>
      </c>
      <c r="S386" s="101">
        <f t="shared" si="45"/>
        <v>0</v>
      </c>
      <c r="T386" s="101">
        <f t="shared" si="45"/>
        <v>0</v>
      </c>
      <c r="U386" s="101">
        <f t="shared" si="45"/>
        <v>0</v>
      </c>
      <c r="V386" s="101">
        <f t="shared" si="45"/>
        <v>0</v>
      </c>
      <c r="W386" s="101">
        <f t="shared" si="45"/>
        <v>0</v>
      </c>
      <c r="X386" s="101">
        <f t="shared" si="45"/>
        <v>0</v>
      </c>
    </row>
    <row r="387" spans="1:24" s="1" customFormat="1" ht="33.75" hidden="1">
      <c r="A387" s="138">
        <v>1</v>
      </c>
      <c r="B387" s="354" t="s">
        <v>34</v>
      </c>
      <c r="C387" s="354"/>
      <c r="D387" s="355" t="s">
        <v>330</v>
      </c>
      <c r="E387" s="207">
        <f t="shared" si="37"/>
        <v>10000</v>
      </c>
      <c r="F387" s="207">
        <f t="shared" si="38"/>
        <v>10000</v>
      </c>
      <c r="G387" s="123">
        <v>10000</v>
      </c>
      <c r="H387" s="523"/>
      <c r="I387" s="135"/>
      <c r="J387" s="135"/>
      <c r="K387" s="135"/>
      <c r="L387" s="207">
        <f t="shared" si="39"/>
        <v>0</v>
      </c>
      <c r="M387" s="111"/>
      <c r="N387" s="356"/>
      <c r="O387" s="117"/>
      <c r="P387" s="109"/>
      <c r="Q387" s="135"/>
      <c r="R387" s="135"/>
      <c r="S387" s="115"/>
      <c r="T387" s="117"/>
      <c r="U387" s="135"/>
      <c r="V387" s="117"/>
      <c r="W387" s="117"/>
      <c r="X387" s="117"/>
    </row>
    <row r="388" spans="1:24" s="1" customFormat="1" ht="33.75" hidden="1">
      <c r="A388" s="138">
        <v>2</v>
      </c>
      <c r="B388" s="354" t="s">
        <v>34</v>
      </c>
      <c r="C388" s="354"/>
      <c r="D388" s="355" t="s">
        <v>331</v>
      </c>
      <c r="E388" s="207">
        <f t="shared" si="37"/>
        <v>20000</v>
      </c>
      <c r="F388" s="207">
        <f t="shared" si="38"/>
        <v>20000</v>
      </c>
      <c r="G388" s="123">
        <v>20000</v>
      </c>
      <c r="H388" s="523"/>
      <c r="I388" s="135"/>
      <c r="J388" s="135"/>
      <c r="K388" s="135"/>
      <c r="L388" s="207">
        <f t="shared" si="39"/>
        <v>0</v>
      </c>
      <c r="M388" s="111"/>
      <c r="N388" s="356"/>
      <c r="O388" s="135"/>
      <c r="P388" s="117"/>
      <c r="Q388" s="135"/>
      <c r="R388" s="135"/>
      <c r="S388" s="135"/>
      <c r="T388" s="117"/>
      <c r="U388" s="135"/>
      <c r="V388" s="117"/>
      <c r="W388" s="117"/>
      <c r="X388" s="117"/>
    </row>
    <row r="389" spans="1:24" s="1" customFormat="1" hidden="1">
      <c r="A389" s="138">
        <v>3</v>
      </c>
      <c r="B389" s="354" t="s">
        <v>34</v>
      </c>
      <c r="C389" s="354"/>
      <c r="D389" s="355" t="s">
        <v>332</v>
      </c>
      <c r="E389" s="207">
        <f t="shared" si="37"/>
        <v>0</v>
      </c>
      <c r="F389" s="207">
        <f t="shared" si="38"/>
        <v>0</v>
      </c>
      <c r="G389" s="123"/>
      <c r="H389" s="523"/>
      <c r="I389" s="135"/>
      <c r="J389" s="135"/>
      <c r="K389" s="135"/>
      <c r="L389" s="207">
        <f t="shared" si="39"/>
        <v>0</v>
      </c>
      <c r="M389" s="111"/>
      <c r="N389" s="356"/>
      <c r="O389" s="135"/>
      <c r="P389" s="117"/>
      <c r="Q389" s="135"/>
      <c r="R389" s="135"/>
      <c r="S389" s="135"/>
      <c r="T389" s="117"/>
      <c r="U389" s="135"/>
      <c r="V389" s="117"/>
      <c r="W389" s="117"/>
      <c r="X389" s="117"/>
    </row>
    <row r="390" spans="1:24" s="1" customFormat="1" ht="56.25" hidden="1">
      <c r="A390" s="138">
        <v>4</v>
      </c>
      <c r="B390" s="354" t="s">
        <v>34</v>
      </c>
      <c r="C390" s="354"/>
      <c r="D390" s="355" t="s">
        <v>333</v>
      </c>
      <c r="E390" s="207">
        <f t="shared" si="37"/>
        <v>10000</v>
      </c>
      <c r="F390" s="207">
        <f t="shared" si="38"/>
        <v>10000</v>
      </c>
      <c r="G390" s="123">
        <v>10000</v>
      </c>
      <c r="H390" s="523"/>
      <c r="I390" s="135"/>
      <c r="J390" s="135"/>
      <c r="K390" s="135"/>
      <c r="L390" s="207">
        <f t="shared" si="39"/>
        <v>0</v>
      </c>
      <c r="M390" s="111"/>
      <c r="N390" s="356"/>
      <c r="O390" s="135"/>
      <c r="P390" s="117"/>
      <c r="Q390" s="135"/>
      <c r="R390" s="135"/>
      <c r="S390" s="135"/>
      <c r="T390" s="117"/>
      <c r="U390" s="135"/>
      <c r="V390" s="117"/>
      <c r="W390" s="117"/>
      <c r="X390" s="117"/>
    </row>
    <row r="391" spans="1:24" s="1" customFormat="1" ht="33.75" hidden="1">
      <c r="A391" s="138">
        <v>5</v>
      </c>
      <c r="B391" s="354" t="s">
        <v>34</v>
      </c>
      <c r="C391" s="354"/>
      <c r="D391" s="355" t="s">
        <v>614</v>
      </c>
      <c r="E391" s="207">
        <f t="shared" si="37"/>
        <v>10000</v>
      </c>
      <c r="F391" s="207">
        <f t="shared" si="38"/>
        <v>10000</v>
      </c>
      <c r="G391" s="123">
        <v>10000</v>
      </c>
      <c r="H391" s="523"/>
      <c r="I391" s="135"/>
      <c r="J391" s="135"/>
      <c r="K391" s="135"/>
      <c r="L391" s="207">
        <f t="shared" si="39"/>
        <v>0</v>
      </c>
      <c r="M391" s="111"/>
      <c r="N391" s="356"/>
      <c r="O391" s="135"/>
      <c r="P391" s="117"/>
      <c r="Q391" s="135"/>
      <c r="R391" s="117"/>
      <c r="S391" s="135"/>
      <c r="T391" s="117"/>
      <c r="U391" s="135"/>
      <c r="V391" s="117"/>
      <c r="W391" s="117"/>
      <c r="X391" s="117"/>
    </row>
    <row r="392" spans="1:24" s="361" customFormat="1">
      <c r="A392" s="524" t="s">
        <v>584</v>
      </c>
      <c r="B392" s="357" t="s">
        <v>1</v>
      </c>
      <c r="C392" s="357"/>
      <c r="D392" s="358"/>
      <c r="E392" s="359">
        <f t="shared" si="37"/>
        <v>2524636.5</v>
      </c>
      <c r="F392" s="359">
        <f t="shared" si="38"/>
        <v>1777860</v>
      </c>
      <c r="G392" s="360">
        <f>SUM(G393:G401)</f>
        <v>0</v>
      </c>
      <c r="H392" s="360">
        <f>SUM(H393:H401)</f>
        <v>1777860</v>
      </c>
      <c r="I392" s="360">
        <f>SUM(I393:I401)</f>
        <v>0</v>
      </c>
      <c r="J392" s="360">
        <f>SUM(J393:J401)</f>
        <v>0</v>
      </c>
      <c r="K392" s="360">
        <f>SUM(K393:K401)</f>
        <v>0</v>
      </c>
      <c r="L392" s="51">
        <f t="shared" si="39"/>
        <v>746776.5</v>
      </c>
      <c r="M392" s="360">
        <f t="shared" ref="M392:X392" si="46">SUM(M393:M401)</f>
        <v>123400</v>
      </c>
      <c r="N392" s="360">
        <f t="shared" si="46"/>
        <v>117600</v>
      </c>
      <c r="O392" s="360">
        <f t="shared" si="46"/>
        <v>8700</v>
      </c>
      <c r="P392" s="360">
        <f t="shared" si="46"/>
        <v>47709.5</v>
      </c>
      <c r="Q392" s="360">
        <f t="shared" si="46"/>
        <v>74380</v>
      </c>
      <c r="R392" s="360">
        <f t="shared" si="46"/>
        <v>52800</v>
      </c>
      <c r="S392" s="360">
        <f t="shared" si="46"/>
        <v>4547</v>
      </c>
      <c r="T392" s="360">
        <f t="shared" si="46"/>
        <v>32440</v>
      </c>
      <c r="U392" s="360">
        <f t="shared" si="46"/>
        <v>41826</v>
      </c>
      <c r="V392" s="360">
        <f t="shared" si="46"/>
        <v>50210</v>
      </c>
      <c r="W392" s="360">
        <f t="shared" si="46"/>
        <v>101964</v>
      </c>
      <c r="X392" s="360">
        <f t="shared" si="46"/>
        <v>91200</v>
      </c>
    </row>
    <row r="393" spans="1:24" s="1" customFormat="1" ht="22.5" hidden="1">
      <c r="A393" s="48">
        <v>1</v>
      </c>
      <c r="B393" s="49" t="s">
        <v>1</v>
      </c>
      <c r="C393" s="49"/>
      <c r="D393" s="584" t="s">
        <v>549</v>
      </c>
      <c r="E393" s="51">
        <f t="shared" si="37"/>
        <v>67940</v>
      </c>
      <c r="F393" s="51">
        <f t="shared" si="38"/>
        <v>19500</v>
      </c>
      <c r="G393" s="52"/>
      <c r="H393" s="53">
        <v>19500</v>
      </c>
      <c r="I393" s="53"/>
      <c r="J393" s="53"/>
      <c r="K393" s="53"/>
      <c r="L393" s="51">
        <f t="shared" si="39"/>
        <v>48440</v>
      </c>
      <c r="M393" s="53"/>
      <c r="N393" s="53">
        <v>10000</v>
      </c>
      <c r="O393" s="53"/>
      <c r="P393" s="53"/>
      <c r="Q393" s="53"/>
      <c r="R393" s="53">
        <v>12000</v>
      </c>
      <c r="S393" s="53">
        <v>960</v>
      </c>
      <c r="T393" s="53"/>
      <c r="U393" s="53"/>
      <c r="V393" s="53"/>
      <c r="W393" s="53">
        <v>5480</v>
      </c>
      <c r="X393" s="53">
        <v>20000</v>
      </c>
    </row>
    <row r="394" spans="1:24" s="1" customFormat="1" ht="33.75" hidden="1">
      <c r="A394" s="48">
        <v>2</v>
      </c>
      <c r="B394" s="49" t="s">
        <v>1</v>
      </c>
      <c r="C394" s="49"/>
      <c r="D394" s="50" t="s">
        <v>550</v>
      </c>
      <c r="E394" s="51">
        <f t="shared" ref="E394:E457" si="47">F394+L394</f>
        <v>126780</v>
      </c>
      <c r="F394" s="51">
        <f t="shared" ref="F394:F457" si="48">SUM(G394:K394)</f>
        <v>60800</v>
      </c>
      <c r="G394" s="52"/>
      <c r="H394" s="53">
        <v>60800</v>
      </c>
      <c r="I394" s="53"/>
      <c r="J394" s="53"/>
      <c r="K394" s="53"/>
      <c r="L394" s="51">
        <f t="shared" ref="L394:L457" si="49">SUM(M394:X394)</f>
        <v>65980</v>
      </c>
      <c r="M394" s="53">
        <v>20000</v>
      </c>
      <c r="N394" s="53">
        <v>10000</v>
      </c>
      <c r="O394" s="53">
        <v>2600</v>
      </c>
      <c r="P394" s="53"/>
      <c r="Q394" s="53">
        <v>7000</v>
      </c>
      <c r="R394" s="53"/>
      <c r="S394" s="53"/>
      <c r="T394" s="53">
        <v>13700</v>
      </c>
      <c r="U394" s="53"/>
      <c r="V394" s="53"/>
      <c r="W394" s="53">
        <v>7680</v>
      </c>
      <c r="X394" s="53">
        <v>5000</v>
      </c>
    </row>
    <row r="395" spans="1:24" s="1" customFormat="1" ht="56.25" hidden="1">
      <c r="A395" s="48">
        <v>3</v>
      </c>
      <c r="B395" s="49" t="s">
        <v>1</v>
      </c>
      <c r="C395" s="49"/>
      <c r="D395" s="54" t="s">
        <v>551</v>
      </c>
      <c r="E395" s="51">
        <f t="shared" si="47"/>
        <v>215880</v>
      </c>
      <c r="F395" s="51">
        <f t="shared" si="48"/>
        <v>132560</v>
      </c>
      <c r="G395" s="52"/>
      <c r="H395" s="53">
        <v>132560</v>
      </c>
      <c r="I395" s="53"/>
      <c r="J395" s="53"/>
      <c r="K395" s="53"/>
      <c r="L395" s="51">
        <f t="shared" si="49"/>
        <v>83320</v>
      </c>
      <c r="M395" s="55"/>
      <c r="N395" s="56">
        <v>20000</v>
      </c>
      <c r="O395" s="57"/>
      <c r="P395" s="58"/>
      <c r="Q395" s="59">
        <v>30880</v>
      </c>
      <c r="R395" s="57"/>
      <c r="S395" s="57"/>
      <c r="T395" s="58"/>
      <c r="U395" s="57"/>
      <c r="V395" s="58"/>
      <c r="W395" s="58">
        <v>22440</v>
      </c>
      <c r="X395" s="60">
        <v>10000</v>
      </c>
    </row>
    <row r="396" spans="1:24" s="1" customFormat="1" ht="22.5" hidden="1">
      <c r="A396" s="48">
        <v>4</v>
      </c>
      <c r="B396" s="49" t="s">
        <v>1</v>
      </c>
      <c r="C396" s="49"/>
      <c r="D396" s="50" t="s">
        <v>552</v>
      </c>
      <c r="E396" s="51">
        <f t="shared" si="47"/>
        <v>225000</v>
      </c>
      <c r="F396" s="51">
        <f t="shared" si="48"/>
        <v>200000</v>
      </c>
      <c r="G396" s="52"/>
      <c r="H396" s="53">
        <v>200000</v>
      </c>
      <c r="I396" s="53"/>
      <c r="J396" s="53"/>
      <c r="K396" s="53"/>
      <c r="L396" s="51">
        <f t="shared" si="49"/>
        <v>25000</v>
      </c>
      <c r="M396" s="53"/>
      <c r="N396" s="53">
        <v>15000</v>
      </c>
      <c r="O396" s="53"/>
      <c r="P396" s="53"/>
      <c r="Q396" s="53">
        <v>10000</v>
      </c>
      <c r="R396" s="53"/>
      <c r="S396" s="53"/>
      <c r="T396" s="53"/>
      <c r="U396" s="53"/>
      <c r="V396" s="53"/>
      <c r="W396" s="53"/>
      <c r="X396" s="53"/>
    </row>
    <row r="397" spans="1:24" s="1" customFormat="1" ht="22.5" hidden="1">
      <c r="A397" s="48">
        <v>5</v>
      </c>
      <c r="B397" s="49" t="s">
        <v>1</v>
      </c>
      <c r="C397" s="49"/>
      <c r="D397" s="61" t="s">
        <v>553</v>
      </c>
      <c r="E397" s="51">
        <f t="shared" si="47"/>
        <v>962257</v>
      </c>
      <c r="F397" s="51">
        <f t="shared" si="48"/>
        <v>655000</v>
      </c>
      <c r="G397" s="52"/>
      <c r="H397" s="53">
        <v>655000</v>
      </c>
      <c r="I397" s="53"/>
      <c r="J397" s="53"/>
      <c r="K397" s="53"/>
      <c r="L397" s="51">
        <f t="shared" si="49"/>
        <v>307257</v>
      </c>
      <c r="M397" s="55">
        <v>103400</v>
      </c>
      <c r="N397" s="56">
        <v>15000</v>
      </c>
      <c r="O397" s="57">
        <v>6100</v>
      </c>
      <c r="P397" s="58">
        <v>24220</v>
      </c>
      <c r="Q397" s="59">
        <v>7300</v>
      </c>
      <c r="R397" s="57">
        <v>30000</v>
      </c>
      <c r="S397" s="57">
        <v>3587</v>
      </c>
      <c r="T397" s="58">
        <v>8740</v>
      </c>
      <c r="U397" s="57">
        <v>9500</v>
      </c>
      <c r="V397" s="58">
        <v>28010</v>
      </c>
      <c r="W397" s="58">
        <v>46400</v>
      </c>
      <c r="X397" s="60">
        <v>25000</v>
      </c>
    </row>
    <row r="398" spans="1:24" s="1" customFormat="1" ht="22.5" hidden="1">
      <c r="A398" s="48">
        <v>6</v>
      </c>
      <c r="B398" s="49" t="s">
        <v>1</v>
      </c>
      <c r="C398" s="49"/>
      <c r="D398" s="62" t="s">
        <v>554</v>
      </c>
      <c r="E398" s="51">
        <f t="shared" si="47"/>
        <v>129689.5</v>
      </c>
      <c r="F398" s="51">
        <f t="shared" si="48"/>
        <v>0</v>
      </c>
      <c r="G398" s="52"/>
      <c r="H398" s="53"/>
      <c r="I398" s="53"/>
      <c r="J398" s="53"/>
      <c r="K398" s="53"/>
      <c r="L398" s="51">
        <f t="shared" si="49"/>
        <v>129689.5</v>
      </c>
      <c r="M398" s="57"/>
      <c r="N398" s="56">
        <v>27600</v>
      </c>
      <c r="O398" s="57"/>
      <c r="P398" s="57">
        <v>23489.5</v>
      </c>
      <c r="Q398" s="57">
        <v>19200</v>
      </c>
      <c r="R398" s="57">
        <v>10800</v>
      </c>
      <c r="S398" s="57"/>
      <c r="T398" s="57"/>
      <c r="U398" s="57"/>
      <c r="V398" s="57">
        <v>16200</v>
      </c>
      <c r="W398" s="58">
        <v>16200</v>
      </c>
      <c r="X398" s="60">
        <v>16200</v>
      </c>
    </row>
    <row r="399" spans="1:24" s="1" customFormat="1" ht="22.5" hidden="1">
      <c r="A399" s="48">
        <v>7</v>
      </c>
      <c r="B399" s="49" t="s">
        <v>1</v>
      </c>
      <c r="C399" s="49"/>
      <c r="D399" s="63" t="s">
        <v>555</v>
      </c>
      <c r="E399" s="51">
        <f t="shared" si="47"/>
        <v>278890</v>
      </c>
      <c r="F399" s="51">
        <f t="shared" si="48"/>
        <v>200000</v>
      </c>
      <c r="G399" s="52"/>
      <c r="H399" s="53">
        <v>200000</v>
      </c>
      <c r="I399" s="53"/>
      <c r="J399" s="53"/>
      <c r="K399" s="53"/>
      <c r="L399" s="51">
        <f t="shared" si="49"/>
        <v>78890</v>
      </c>
      <c r="M399" s="55"/>
      <c r="N399" s="56">
        <v>20000</v>
      </c>
      <c r="O399" s="57"/>
      <c r="P399" s="58"/>
      <c r="Q399" s="59"/>
      <c r="R399" s="58"/>
      <c r="S399" s="57"/>
      <c r="T399" s="58">
        <v>10000</v>
      </c>
      <c r="U399" s="57">
        <v>32326</v>
      </c>
      <c r="V399" s="58">
        <v>6000</v>
      </c>
      <c r="W399" s="58">
        <v>564</v>
      </c>
      <c r="X399" s="60">
        <v>10000</v>
      </c>
    </row>
    <row r="400" spans="1:24" s="1" customFormat="1" ht="22.5" hidden="1">
      <c r="A400" s="48">
        <v>8</v>
      </c>
      <c r="B400" s="49" t="s">
        <v>1</v>
      </c>
      <c r="C400" s="49"/>
      <c r="D400" s="64" t="s">
        <v>556</v>
      </c>
      <c r="E400" s="51">
        <f t="shared" si="47"/>
        <v>98200</v>
      </c>
      <c r="F400" s="51">
        <f t="shared" si="48"/>
        <v>90000</v>
      </c>
      <c r="G400" s="52"/>
      <c r="H400" s="53">
        <v>90000</v>
      </c>
      <c r="I400" s="53"/>
      <c r="J400" s="53"/>
      <c r="K400" s="53"/>
      <c r="L400" s="51">
        <f t="shared" si="49"/>
        <v>8200</v>
      </c>
      <c r="M400" s="55"/>
      <c r="N400" s="56"/>
      <c r="O400" s="57"/>
      <c r="P400" s="58"/>
      <c r="Q400" s="59"/>
      <c r="R400" s="57"/>
      <c r="S400" s="57"/>
      <c r="T400" s="58"/>
      <c r="U400" s="57"/>
      <c r="V400" s="58"/>
      <c r="W400" s="58">
        <v>3200</v>
      </c>
      <c r="X400" s="60">
        <v>5000</v>
      </c>
    </row>
    <row r="401" spans="1:24" s="1" customFormat="1" ht="22.5" hidden="1">
      <c r="A401" s="48">
        <v>9</v>
      </c>
      <c r="B401" s="49" t="s">
        <v>1</v>
      </c>
      <c r="C401" s="49"/>
      <c r="D401" s="64" t="s">
        <v>557</v>
      </c>
      <c r="E401" s="51">
        <f t="shared" si="47"/>
        <v>420000</v>
      </c>
      <c r="F401" s="51">
        <f t="shared" si="48"/>
        <v>420000</v>
      </c>
      <c r="G401" s="52"/>
      <c r="H401" s="53">
        <v>420000</v>
      </c>
      <c r="I401" s="53"/>
      <c r="J401" s="53"/>
      <c r="K401" s="53"/>
      <c r="L401" s="51">
        <f t="shared" si="49"/>
        <v>0</v>
      </c>
      <c r="M401" s="55"/>
      <c r="N401" s="56"/>
      <c r="O401" s="57"/>
      <c r="P401" s="58"/>
      <c r="Q401" s="59"/>
      <c r="R401" s="57"/>
      <c r="S401" s="57"/>
      <c r="T401" s="58"/>
      <c r="U401" s="57"/>
      <c r="V401" s="58"/>
      <c r="W401" s="58"/>
      <c r="X401" s="60"/>
    </row>
    <row r="402" spans="1:24" s="3" customFormat="1" ht="31.5" hidden="1">
      <c r="A402" s="353" t="s">
        <v>255</v>
      </c>
      <c r="B402" s="362" t="s">
        <v>34</v>
      </c>
      <c r="C402" s="362"/>
      <c r="D402" s="186" t="s">
        <v>30</v>
      </c>
      <c r="E402" s="51">
        <f t="shared" si="47"/>
        <v>450000</v>
      </c>
      <c r="F402" s="51">
        <f t="shared" si="48"/>
        <v>450000</v>
      </c>
      <c r="G402" s="101">
        <f>SUM(G403:G411)</f>
        <v>450000</v>
      </c>
      <c r="H402" s="101">
        <f t="shared" ref="H402:X402" si="50">SUM(H403:H411)</f>
        <v>0</v>
      </c>
      <c r="I402" s="101">
        <f t="shared" si="50"/>
        <v>0</v>
      </c>
      <c r="J402" s="101">
        <f t="shared" si="50"/>
        <v>0</v>
      </c>
      <c r="K402" s="101">
        <f t="shared" si="50"/>
        <v>0</v>
      </c>
      <c r="L402" s="51">
        <f t="shared" si="49"/>
        <v>0</v>
      </c>
      <c r="M402" s="101">
        <f t="shared" si="50"/>
        <v>0</v>
      </c>
      <c r="N402" s="101">
        <f t="shared" si="50"/>
        <v>0</v>
      </c>
      <c r="O402" s="101">
        <f t="shared" si="50"/>
        <v>0</v>
      </c>
      <c r="P402" s="101">
        <f t="shared" si="50"/>
        <v>0</v>
      </c>
      <c r="Q402" s="101">
        <f t="shared" si="50"/>
        <v>0</v>
      </c>
      <c r="R402" s="101">
        <f t="shared" si="50"/>
        <v>0</v>
      </c>
      <c r="S402" s="101">
        <f t="shared" si="50"/>
        <v>0</v>
      </c>
      <c r="T402" s="101">
        <f t="shared" si="50"/>
        <v>0</v>
      </c>
      <c r="U402" s="101">
        <f t="shared" si="50"/>
        <v>0</v>
      </c>
      <c r="V402" s="101">
        <f t="shared" si="50"/>
        <v>0</v>
      </c>
      <c r="W402" s="101">
        <f t="shared" si="50"/>
        <v>0</v>
      </c>
      <c r="X402" s="101">
        <f t="shared" si="50"/>
        <v>0</v>
      </c>
    </row>
    <row r="403" spans="1:24" s="1" customFormat="1" ht="22.5" hidden="1">
      <c r="A403" s="525">
        <v>1</v>
      </c>
      <c r="B403" s="354" t="s">
        <v>34</v>
      </c>
      <c r="C403" s="354"/>
      <c r="D403" s="191" t="s">
        <v>131</v>
      </c>
      <c r="E403" s="188">
        <f t="shared" si="47"/>
        <v>40000</v>
      </c>
      <c r="F403" s="188">
        <f t="shared" si="48"/>
        <v>40000</v>
      </c>
      <c r="G403" s="135">
        <v>40000</v>
      </c>
      <c r="H403" s="135"/>
      <c r="I403" s="135"/>
      <c r="J403" s="135"/>
      <c r="K403" s="135"/>
      <c r="L403" s="188">
        <f t="shared" si="49"/>
        <v>0</v>
      </c>
      <c r="M403" s="135"/>
      <c r="N403" s="356"/>
      <c r="O403" s="135"/>
      <c r="P403" s="135"/>
      <c r="Q403" s="135"/>
      <c r="R403" s="135"/>
      <c r="S403" s="135"/>
      <c r="T403" s="135"/>
      <c r="U403" s="135"/>
      <c r="V403" s="135"/>
      <c r="W403" s="117"/>
      <c r="X403" s="117"/>
    </row>
    <row r="404" spans="1:24" s="1" customFormat="1" ht="33.75" hidden="1">
      <c r="A404" s="525">
        <v>2</v>
      </c>
      <c r="B404" s="354" t="s">
        <v>34</v>
      </c>
      <c r="C404" s="354"/>
      <c r="D404" s="191" t="s">
        <v>474</v>
      </c>
      <c r="E404" s="188">
        <f t="shared" si="47"/>
        <v>130000</v>
      </c>
      <c r="F404" s="188">
        <f t="shared" si="48"/>
        <v>130000</v>
      </c>
      <c r="G404" s="135">
        <f>70000+60000</f>
        <v>130000</v>
      </c>
      <c r="H404" s="135"/>
      <c r="I404" s="135"/>
      <c r="J404" s="135"/>
      <c r="K404" s="135"/>
      <c r="L404" s="188">
        <f t="shared" si="49"/>
        <v>0</v>
      </c>
      <c r="M404" s="135"/>
      <c r="N404" s="356"/>
      <c r="O404" s="135"/>
      <c r="P404" s="135"/>
      <c r="Q404" s="135"/>
      <c r="R404" s="135"/>
      <c r="S404" s="135"/>
      <c r="T404" s="135"/>
      <c r="U404" s="135"/>
      <c r="V404" s="135"/>
      <c r="W404" s="117"/>
      <c r="X404" s="117"/>
    </row>
    <row r="405" spans="1:24" s="1" customFormat="1" ht="22.5" hidden="1">
      <c r="A405" s="525">
        <v>3</v>
      </c>
      <c r="B405" s="354" t="s">
        <v>34</v>
      </c>
      <c r="C405" s="354"/>
      <c r="D405" s="191" t="s">
        <v>132</v>
      </c>
      <c r="E405" s="188">
        <f t="shared" si="47"/>
        <v>10000</v>
      </c>
      <c r="F405" s="188">
        <f t="shared" si="48"/>
        <v>10000</v>
      </c>
      <c r="G405" s="135">
        <v>10000</v>
      </c>
      <c r="H405" s="135"/>
      <c r="I405" s="135"/>
      <c r="J405" s="135"/>
      <c r="K405" s="135"/>
      <c r="L405" s="188">
        <f t="shared" si="49"/>
        <v>0</v>
      </c>
      <c r="M405" s="135"/>
      <c r="N405" s="356"/>
      <c r="O405" s="135"/>
      <c r="P405" s="135"/>
      <c r="Q405" s="135"/>
      <c r="R405" s="135"/>
      <c r="S405" s="135"/>
      <c r="T405" s="135"/>
      <c r="U405" s="135"/>
      <c r="V405" s="135"/>
      <c r="W405" s="117"/>
      <c r="X405" s="117"/>
    </row>
    <row r="406" spans="1:24" s="1" customFormat="1" ht="45" hidden="1">
      <c r="A406" s="525">
        <v>4</v>
      </c>
      <c r="B406" s="354" t="s">
        <v>34</v>
      </c>
      <c r="C406" s="354"/>
      <c r="D406" s="104" t="s">
        <v>475</v>
      </c>
      <c r="E406" s="188">
        <f t="shared" si="47"/>
        <v>100000</v>
      </c>
      <c r="F406" s="188">
        <f t="shared" si="48"/>
        <v>100000</v>
      </c>
      <c r="G406" s="72">
        <f>50000+50000</f>
        <v>100000</v>
      </c>
      <c r="H406" s="135"/>
      <c r="I406" s="135"/>
      <c r="J406" s="135"/>
      <c r="K406" s="135"/>
      <c r="L406" s="188">
        <f t="shared" si="49"/>
        <v>0</v>
      </c>
      <c r="M406" s="135"/>
      <c r="N406" s="356"/>
      <c r="O406" s="135"/>
      <c r="P406" s="135"/>
      <c r="Q406" s="135"/>
      <c r="R406" s="135"/>
      <c r="S406" s="135"/>
      <c r="T406" s="135"/>
      <c r="U406" s="135"/>
      <c r="V406" s="135"/>
      <c r="W406" s="117"/>
      <c r="X406" s="117"/>
    </row>
    <row r="407" spans="1:24" s="1" customFormat="1" ht="33.75" hidden="1">
      <c r="A407" s="525">
        <v>5</v>
      </c>
      <c r="B407" s="354" t="s">
        <v>34</v>
      </c>
      <c r="C407" s="354"/>
      <c r="D407" s="104" t="s">
        <v>476</v>
      </c>
      <c r="E407" s="188">
        <f t="shared" si="47"/>
        <v>120000</v>
      </c>
      <c r="F407" s="188">
        <f t="shared" si="48"/>
        <v>120000</v>
      </c>
      <c r="G407" s="135">
        <f>60000+60000</f>
        <v>120000</v>
      </c>
      <c r="H407" s="135"/>
      <c r="I407" s="135"/>
      <c r="J407" s="135"/>
      <c r="K407" s="135"/>
      <c r="L407" s="188">
        <f t="shared" si="49"/>
        <v>0</v>
      </c>
      <c r="M407" s="135"/>
      <c r="N407" s="356"/>
      <c r="O407" s="135"/>
      <c r="P407" s="135"/>
      <c r="Q407" s="135"/>
      <c r="R407" s="135"/>
      <c r="S407" s="135"/>
      <c r="T407" s="135"/>
      <c r="U407" s="135"/>
      <c r="V407" s="135"/>
      <c r="W407" s="117"/>
      <c r="X407" s="117"/>
    </row>
    <row r="408" spans="1:24" s="1" customFormat="1" ht="33.75" hidden="1">
      <c r="A408" s="525">
        <v>6</v>
      </c>
      <c r="B408" s="354" t="s">
        <v>34</v>
      </c>
      <c r="C408" s="354"/>
      <c r="D408" s="104" t="s">
        <v>477</v>
      </c>
      <c r="E408" s="188">
        <f t="shared" si="47"/>
        <v>30000</v>
      </c>
      <c r="F408" s="188">
        <f t="shared" si="48"/>
        <v>30000</v>
      </c>
      <c r="G408" s="135">
        <v>30000</v>
      </c>
      <c r="H408" s="135"/>
      <c r="I408" s="135"/>
      <c r="J408" s="135"/>
      <c r="K408" s="135"/>
      <c r="L408" s="188">
        <f t="shared" si="49"/>
        <v>0</v>
      </c>
      <c r="M408" s="135"/>
      <c r="N408" s="356"/>
      <c r="O408" s="135"/>
      <c r="P408" s="135"/>
      <c r="Q408" s="135"/>
      <c r="R408" s="135"/>
      <c r="S408" s="135"/>
      <c r="T408" s="135"/>
      <c r="U408" s="135"/>
      <c r="V408" s="135"/>
      <c r="W408" s="117"/>
      <c r="X408" s="117"/>
    </row>
    <row r="409" spans="1:24" s="1" customFormat="1" ht="33.75" hidden="1">
      <c r="A409" s="525">
        <v>7</v>
      </c>
      <c r="B409" s="354" t="s">
        <v>34</v>
      </c>
      <c r="C409" s="354"/>
      <c r="D409" s="570" t="s">
        <v>478</v>
      </c>
      <c r="E409" s="188">
        <f t="shared" si="47"/>
        <v>20000</v>
      </c>
      <c r="F409" s="188">
        <f t="shared" si="48"/>
        <v>20000</v>
      </c>
      <c r="G409" s="135">
        <v>20000</v>
      </c>
      <c r="H409" s="135"/>
      <c r="I409" s="135"/>
      <c r="J409" s="135"/>
      <c r="K409" s="135"/>
      <c r="L409" s="188">
        <f t="shared" si="49"/>
        <v>0</v>
      </c>
      <c r="M409" s="135"/>
      <c r="N409" s="356"/>
      <c r="O409" s="135"/>
      <c r="P409" s="135"/>
      <c r="Q409" s="135"/>
      <c r="R409" s="135"/>
      <c r="S409" s="135"/>
      <c r="T409" s="135"/>
      <c r="U409" s="135"/>
      <c r="V409" s="135"/>
      <c r="W409" s="117"/>
      <c r="X409" s="117"/>
    </row>
    <row r="410" spans="1:24" s="1" customFormat="1" hidden="1">
      <c r="A410" s="525">
        <v>8</v>
      </c>
      <c r="B410" s="354" t="s">
        <v>34</v>
      </c>
      <c r="C410" s="354"/>
      <c r="D410" s="104" t="s">
        <v>292</v>
      </c>
      <c r="E410" s="188">
        <f t="shared" si="47"/>
        <v>0</v>
      </c>
      <c r="F410" s="188">
        <f t="shared" si="48"/>
        <v>0</v>
      </c>
      <c r="G410" s="135"/>
      <c r="H410" s="135"/>
      <c r="I410" s="135"/>
      <c r="J410" s="135"/>
      <c r="K410" s="135"/>
      <c r="L410" s="188">
        <f t="shared" si="49"/>
        <v>0</v>
      </c>
      <c r="M410" s="135"/>
      <c r="N410" s="356"/>
      <c r="O410" s="135"/>
      <c r="P410" s="135"/>
      <c r="Q410" s="135"/>
      <c r="R410" s="135"/>
      <c r="S410" s="135"/>
      <c r="T410" s="135"/>
      <c r="U410" s="138"/>
      <c r="V410" s="135"/>
      <c r="W410" s="117"/>
      <c r="X410" s="117"/>
    </row>
    <row r="411" spans="1:24" s="1" customFormat="1" hidden="1">
      <c r="A411" s="525">
        <v>9</v>
      </c>
      <c r="B411" s="354" t="s">
        <v>34</v>
      </c>
      <c r="C411" s="354"/>
      <c r="D411" s="104" t="s">
        <v>291</v>
      </c>
      <c r="E411" s="188">
        <f t="shared" si="47"/>
        <v>0</v>
      </c>
      <c r="F411" s="188">
        <f t="shared" si="48"/>
        <v>0</v>
      </c>
      <c r="G411" s="135"/>
      <c r="H411" s="135"/>
      <c r="I411" s="135"/>
      <c r="J411" s="135"/>
      <c r="K411" s="135"/>
      <c r="L411" s="188">
        <f t="shared" si="49"/>
        <v>0</v>
      </c>
      <c r="M411" s="135"/>
      <c r="N411" s="356"/>
      <c r="O411" s="135"/>
      <c r="P411" s="135"/>
      <c r="Q411" s="135"/>
      <c r="R411" s="135"/>
      <c r="S411" s="135"/>
      <c r="T411" s="135"/>
      <c r="U411" s="138"/>
      <c r="V411" s="135"/>
      <c r="W411" s="117"/>
      <c r="X411" s="117"/>
    </row>
    <row r="412" spans="1:24" s="528" customFormat="1" hidden="1">
      <c r="A412" s="526">
        <v>11</v>
      </c>
      <c r="B412" s="354" t="s">
        <v>34</v>
      </c>
      <c r="C412" s="354"/>
      <c r="D412" s="527" t="s">
        <v>312</v>
      </c>
      <c r="E412" s="188">
        <f t="shared" si="47"/>
        <v>4612811</v>
      </c>
      <c r="F412" s="188">
        <f t="shared" si="48"/>
        <v>3246500</v>
      </c>
      <c r="G412" s="105">
        <f>SUM(G413:G444)</f>
        <v>3246500</v>
      </c>
      <c r="H412" s="105">
        <f t="shared" ref="H412:X412" si="51">SUM(H413:H444)</f>
        <v>0</v>
      </c>
      <c r="I412" s="105">
        <f t="shared" si="51"/>
        <v>0</v>
      </c>
      <c r="J412" s="105">
        <f t="shared" si="51"/>
        <v>0</v>
      </c>
      <c r="K412" s="105">
        <f t="shared" si="51"/>
        <v>0</v>
      </c>
      <c r="L412" s="188">
        <f t="shared" si="49"/>
        <v>1366311</v>
      </c>
      <c r="M412" s="105">
        <f t="shared" si="51"/>
        <v>305600</v>
      </c>
      <c r="N412" s="105">
        <f t="shared" si="51"/>
        <v>62463</v>
      </c>
      <c r="O412" s="105">
        <f t="shared" si="51"/>
        <v>20400</v>
      </c>
      <c r="P412" s="105">
        <f t="shared" si="51"/>
        <v>62590</v>
      </c>
      <c r="Q412" s="105">
        <f t="shared" si="51"/>
        <v>89936</v>
      </c>
      <c r="R412" s="105">
        <f t="shared" si="51"/>
        <v>85550</v>
      </c>
      <c r="S412" s="105">
        <f t="shared" si="51"/>
        <v>93540</v>
      </c>
      <c r="T412" s="105">
        <f t="shared" si="51"/>
        <v>106130</v>
      </c>
      <c r="U412" s="105">
        <f t="shared" si="51"/>
        <v>327412</v>
      </c>
      <c r="V412" s="105">
        <f t="shared" si="51"/>
        <v>28000</v>
      </c>
      <c r="W412" s="105">
        <f t="shared" si="51"/>
        <v>96996</v>
      </c>
      <c r="X412" s="105">
        <f t="shared" si="51"/>
        <v>87694</v>
      </c>
    </row>
    <row r="413" spans="1:24" s="1" customFormat="1" hidden="1">
      <c r="A413" s="526" t="s">
        <v>315</v>
      </c>
      <c r="B413" s="354" t="s">
        <v>34</v>
      </c>
      <c r="C413" s="354"/>
      <c r="D413" s="527" t="s">
        <v>317</v>
      </c>
      <c r="E413" s="188">
        <f t="shared" si="47"/>
        <v>0</v>
      </c>
      <c r="F413" s="188">
        <f t="shared" si="48"/>
        <v>0</v>
      </c>
      <c r="G413" s="105"/>
      <c r="H413" s="105"/>
      <c r="I413" s="105"/>
      <c r="J413" s="105"/>
      <c r="K413" s="105"/>
      <c r="L413" s="188">
        <f t="shared" si="49"/>
        <v>0</v>
      </c>
      <c r="M413" s="105"/>
      <c r="N413" s="105"/>
      <c r="O413" s="105"/>
      <c r="P413" s="105"/>
      <c r="Q413" s="105"/>
      <c r="R413" s="105"/>
      <c r="S413" s="105"/>
      <c r="T413" s="105"/>
      <c r="U413" s="105"/>
      <c r="V413" s="105"/>
      <c r="W413" s="105"/>
      <c r="X413" s="105"/>
    </row>
    <row r="414" spans="1:24" s="1" customFormat="1" hidden="1">
      <c r="A414" s="526"/>
      <c r="B414" s="354" t="s">
        <v>34</v>
      </c>
      <c r="C414" s="354"/>
      <c r="D414" s="527" t="s">
        <v>318</v>
      </c>
      <c r="E414" s="188">
        <f t="shared" si="47"/>
        <v>0</v>
      </c>
      <c r="F414" s="188">
        <f t="shared" si="48"/>
        <v>0</v>
      </c>
      <c r="G414" s="105"/>
      <c r="H414" s="105"/>
      <c r="I414" s="105"/>
      <c r="J414" s="105"/>
      <c r="K414" s="105"/>
      <c r="L414" s="188">
        <f t="shared" si="49"/>
        <v>0</v>
      </c>
      <c r="M414" s="105"/>
      <c r="N414" s="105"/>
      <c r="O414" s="105"/>
      <c r="P414" s="105"/>
      <c r="Q414" s="105"/>
      <c r="R414" s="105"/>
      <c r="S414" s="105"/>
      <c r="T414" s="105"/>
      <c r="U414" s="105"/>
      <c r="V414" s="105"/>
      <c r="W414" s="105"/>
      <c r="X414" s="105"/>
    </row>
    <row r="415" spans="1:24" s="1" customFormat="1" hidden="1">
      <c r="A415" s="526" t="s">
        <v>316</v>
      </c>
      <c r="B415" s="354" t="s">
        <v>34</v>
      </c>
      <c r="C415" s="354"/>
      <c r="D415" s="527" t="s">
        <v>319</v>
      </c>
      <c r="E415" s="188">
        <f t="shared" si="47"/>
        <v>0</v>
      </c>
      <c r="F415" s="188">
        <f t="shared" si="48"/>
        <v>0</v>
      </c>
      <c r="G415" s="105"/>
      <c r="H415" s="105"/>
      <c r="I415" s="105"/>
      <c r="J415" s="105"/>
      <c r="K415" s="105"/>
      <c r="L415" s="188">
        <f t="shared" si="49"/>
        <v>0</v>
      </c>
      <c r="M415" s="105"/>
      <c r="N415" s="105"/>
      <c r="O415" s="105"/>
      <c r="P415" s="105"/>
      <c r="Q415" s="105"/>
      <c r="R415" s="105"/>
      <c r="S415" s="105"/>
      <c r="T415" s="105"/>
      <c r="U415" s="105"/>
      <c r="V415" s="105"/>
      <c r="W415" s="105"/>
      <c r="X415" s="105"/>
    </row>
    <row r="416" spans="1:24" s="1" customFormat="1" ht="33.75" hidden="1">
      <c r="A416" s="363">
        <v>1</v>
      </c>
      <c r="B416" s="354" t="s">
        <v>34</v>
      </c>
      <c r="C416" s="354"/>
      <c r="D416" s="364" t="s">
        <v>134</v>
      </c>
      <c r="E416" s="188">
        <f t="shared" si="47"/>
        <v>0</v>
      </c>
      <c r="F416" s="188">
        <f t="shared" si="48"/>
        <v>0</v>
      </c>
      <c r="G416" s="320"/>
      <c r="H416" s="135"/>
      <c r="I416" s="135"/>
      <c r="J416" s="135"/>
      <c r="K416" s="135"/>
      <c r="L416" s="188">
        <f t="shared" si="49"/>
        <v>0</v>
      </c>
      <c r="M416" s="111"/>
      <c r="N416" s="356"/>
      <c r="O416" s="117"/>
      <c r="P416" s="117"/>
      <c r="Q416" s="365"/>
      <c r="R416" s="117"/>
      <c r="S416" s="115"/>
      <c r="T416" s="117"/>
      <c r="U416" s="356"/>
      <c r="V416" s="109"/>
      <c r="W416" s="117"/>
      <c r="X416" s="109"/>
    </row>
    <row r="417" spans="1:24" s="1" customFormat="1" ht="33.75" hidden="1">
      <c r="A417" s="363">
        <v>2</v>
      </c>
      <c r="B417" s="354" t="s">
        <v>34</v>
      </c>
      <c r="C417" s="354"/>
      <c r="D417" s="366" t="s">
        <v>296</v>
      </c>
      <c r="E417" s="188">
        <f t="shared" si="47"/>
        <v>0</v>
      </c>
      <c r="F417" s="188">
        <f t="shared" si="48"/>
        <v>0</v>
      </c>
      <c r="G417" s="320"/>
      <c r="H417" s="135"/>
      <c r="I417" s="135"/>
      <c r="J417" s="135"/>
      <c r="K417" s="135"/>
      <c r="L417" s="188">
        <f t="shared" si="49"/>
        <v>0</v>
      </c>
      <c r="M417" s="111"/>
      <c r="N417" s="356"/>
      <c r="O417" s="135"/>
      <c r="P417" s="109"/>
      <c r="Q417" s="365"/>
      <c r="R417" s="117"/>
      <c r="S417" s="115"/>
      <c r="T417" s="117"/>
      <c r="U417" s="356"/>
      <c r="V417" s="109"/>
      <c r="W417" s="117"/>
      <c r="X417" s="111"/>
    </row>
    <row r="418" spans="1:24" s="1" customFormat="1" ht="33.75" hidden="1">
      <c r="A418" s="363">
        <v>3</v>
      </c>
      <c r="B418" s="354" t="s">
        <v>34</v>
      </c>
      <c r="C418" s="354"/>
      <c r="D418" s="364" t="s">
        <v>135</v>
      </c>
      <c r="E418" s="188">
        <f t="shared" si="47"/>
        <v>0</v>
      </c>
      <c r="F418" s="188">
        <f t="shared" si="48"/>
        <v>0</v>
      </c>
      <c r="G418" s="320"/>
      <c r="H418" s="135"/>
      <c r="I418" s="135"/>
      <c r="J418" s="135"/>
      <c r="K418" s="135"/>
      <c r="L418" s="188">
        <f t="shared" si="49"/>
        <v>0</v>
      </c>
      <c r="M418" s="111"/>
      <c r="N418" s="356"/>
      <c r="O418" s="135"/>
      <c r="P418" s="109"/>
      <c r="Q418" s="365"/>
      <c r="R418" s="117"/>
      <c r="S418" s="115"/>
      <c r="T418" s="117"/>
      <c r="U418" s="356"/>
      <c r="V418" s="109"/>
      <c r="W418" s="117"/>
      <c r="X418" s="111"/>
    </row>
    <row r="419" spans="1:24" s="1" customFormat="1" hidden="1">
      <c r="A419" s="363">
        <v>4</v>
      </c>
      <c r="B419" s="354" t="s">
        <v>34</v>
      </c>
      <c r="C419" s="354"/>
      <c r="D419" s="364" t="s">
        <v>136</v>
      </c>
      <c r="E419" s="188">
        <f t="shared" si="47"/>
        <v>0</v>
      </c>
      <c r="F419" s="188">
        <f t="shared" si="48"/>
        <v>0</v>
      </c>
      <c r="G419" s="367"/>
      <c r="H419" s="135"/>
      <c r="I419" s="135"/>
      <c r="J419" s="135"/>
      <c r="K419" s="135"/>
      <c r="L419" s="188">
        <f t="shared" si="49"/>
        <v>0</v>
      </c>
      <c r="M419" s="111"/>
      <c r="N419" s="356"/>
      <c r="O419" s="135"/>
      <c r="P419" s="109"/>
      <c r="Q419" s="117"/>
      <c r="R419" s="117"/>
      <c r="S419" s="115"/>
      <c r="T419" s="117"/>
      <c r="U419" s="356"/>
      <c r="V419" s="109"/>
      <c r="W419" s="117"/>
      <c r="X419" s="111"/>
    </row>
    <row r="420" spans="1:24" s="1" customFormat="1" ht="33.75" hidden="1">
      <c r="A420" s="363">
        <v>5</v>
      </c>
      <c r="B420" s="354" t="s">
        <v>34</v>
      </c>
      <c r="C420" s="354"/>
      <c r="D420" s="364" t="s">
        <v>137</v>
      </c>
      <c r="E420" s="188">
        <f t="shared" si="47"/>
        <v>0</v>
      </c>
      <c r="F420" s="188">
        <f t="shared" si="48"/>
        <v>0</v>
      </c>
      <c r="G420" s="320"/>
      <c r="H420" s="135"/>
      <c r="I420" s="135"/>
      <c r="J420" s="135"/>
      <c r="K420" s="135"/>
      <c r="L420" s="188">
        <f t="shared" si="49"/>
        <v>0</v>
      </c>
      <c r="M420" s="111"/>
      <c r="N420" s="356"/>
      <c r="O420" s="135"/>
      <c r="P420" s="109"/>
      <c r="Q420" s="117"/>
      <c r="R420" s="117"/>
      <c r="S420" s="115"/>
      <c r="T420" s="117"/>
      <c r="U420" s="356"/>
      <c r="V420" s="109"/>
      <c r="W420" s="117"/>
      <c r="X420" s="111"/>
    </row>
    <row r="421" spans="1:24" s="1" customFormat="1" ht="22.5" hidden="1">
      <c r="A421" s="363">
        <v>6</v>
      </c>
      <c r="B421" s="354" t="s">
        <v>34</v>
      </c>
      <c r="C421" s="354"/>
      <c r="D421" s="364" t="s">
        <v>278</v>
      </c>
      <c r="E421" s="188">
        <f t="shared" si="47"/>
        <v>0</v>
      </c>
      <c r="F421" s="188">
        <f t="shared" si="48"/>
        <v>0</v>
      </c>
      <c r="G421" s="320"/>
      <c r="H421" s="135"/>
      <c r="I421" s="135"/>
      <c r="J421" s="135"/>
      <c r="K421" s="135"/>
      <c r="L421" s="188">
        <f t="shared" si="49"/>
        <v>0</v>
      </c>
      <c r="M421" s="111"/>
      <c r="N421" s="356"/>
      <c r="O421" s="135"/>
      <c r="P421" s="117"/>
      <c r="Q421" s="365"/>
      <c r="R421" s="117"/>
      <c r="S421" s="115"/>
      <c r="T421" s="117"/>
      <c r="U421" s="356"/>
      <c r="V421" s="109"/>
      <c r="W421" s="117"/>
      <c r="X421" s="111"/>
    </row>
    <row r="422" spans="1:24" s="1" customFormat="1" ht="22.5" hidden="1">
      <c r="A422" s="363" t="s">
        <v>320</v>
      </c>
      <c r="B422" s="354" t="s">
        <v>34</v>
      </c>
      <c r="C422" s="354"/>
      <c r="D422" s="364" t="s">
        <v>314</v>
      </c>
      <c r="E422" s="188">
        <f t="shared" si="47"/>
        <v>0</v>
      </c>
      <c r="F422" s="188">
        <f t="shared" si="48"/>
        <v>0</v>
      </c>
      <c r="G422" s="320"/>
      <c r="H422" s="135"/>
      <c r="I422" s="135"/>
      <c r="J422" s="135"/>
      <c r="K422" s="135"/>
      <c r="L422" s="188">
        <f t="shared" si="49"/>
        <v>0</v>
      </c>
      <c r="M422" s="111"/>
      <c r="N422" s="356"/>
      <c r="O422" s="135"/>
      <c r="P422" s="117"/>
      <c r="Q422" s="365"/>
      <c r="R422" s="117"/>
      <c r="S422" s="115"/>
      <c r="T422" s="117"/>
      <c r="U422" s="356"/>
      <c r="V422" s="109"/>
      <c r="W422" s="117"/>
      <c r="X422" s="111"/>
    </row>
    <row r="423" spans="1:24" s="72" customFormat="1" ht="67.5" hidden="1">
      <c r="A423" s="529">
        <v>1</v>
      </c>
      <c r="B423" s="354" t="s">
        <v>34</v>
      </c>
      <c r="C423" s="354"/>
      <c r="D423" s="530" t="s">
        <v>365</v>
      </c>
      <c r="E423" s="188">
        <f t="shared" si="47"/>
        <v>690614</v>
      </c>
      <c r="F423" s="188">
        <f t="shared" si="48"/>
        <v>550000</v>
      </c>
      <c r="G423" s="368">
        <v>550000</v>
      </c>
      <c r="H423" s="105"/>
      <c r="I423" s="105"/>
      <c r="J423" s="105"/>
      <c r="K423" s="105"/>
      <c r="L423" s="188">
        <f t="shared" si="49"/>
        <v>140614</v>
      </c>
      <c r="M423" s="111">
        <v>31320</v>
      </c>
      <c r="N423" s="117">
        <v>3500</v>
      </c>
      <c r="O423" s="105"/>
      <c r="P423" s="369">
        <v>4180</v>
      </c>
      <c r="Q423" s="105">
        <v>22200</v>
      </c>
      <c r="R423" s="105"/>
      <c r="S423" s="105">
        <v>35500</v>
      </c>
      <c r="T423" s="199">
        <v>7790</v>
      </c>
      <c r="U423" s="531">
        <v>14900</v>
      </c>
      <c r="V423" s="370">
        <v>6670</v>
      </c>
      <c r="W423" s="105">
        <v>2160</v>
      </c>
      <c r="X423" s="105">
        <v>12394</v>
      </c>
    </row>
    <row r="424" spans="1:24" s="1" customFormat="1" ht="33.75" hidden="1">
      <c r="A424" s="371">
        <v>2</v>
      </c>
      <c r="B424" s="354" t="s">
        <v>34</v>
      </c>
      <c r="C424" s="555"/>
      <c r="D424" s="372" t="s">
        <v>135</v>
      </c>
      <c r="E424" s="188">
        <f t="shared" si="47"/>
        <v>231600</v>
      </c>
      <c r="F424" s="188">
        <f t="shared" si="48"/>
        <v>150000</v>
      </c>
      <c r="G424" s="373">
        <v>150000</v>
      </c>
      <c r="H424" s="105"/>
      <c r="I424" s="105"/>
      <c r="J424" s="105"/>
      <c r="K424" s="105"/>
      <c r="L424" s="188">
        <f t="shared" si="49"/>
        <v>81600</v>
      </c>
      <c r="M424" s="111">
        <f>6000+48000+3600</f>
        <v>57600</v>
      </c>
      <c r="N424" s="105"/>
      <c r="O424" s="105"/>
      <c r="P424" s="105"/>
      <c r="Q424" s="105">
        <v>24000</v>
      </c>
      <c r="R424" s="105"/>
      <c r="S424" s="105"/>
      <c r="T424" s="105"/>
      <c r="U424" s="105">
        <v>0</v>
      </c>
      <c r="V424" s="105"/>
      <c r="W424" s="105"/>
      <c r="X424" s="105">
        <v>0</v>
      </c>
    </row>
    <row r="425" spans="1:24" s="1" customFormat="1" hidden="1">
      <c r="A425" s="371">
        <v>3</v>
      </c>
      <c r="B425" s="354" t="s">
        <v>34</v>
      </c>
      <c r="C425" s="354"/>
      <c r="D425" s="364" t="s">
        <v>366</v>
      </c>
      <c r="E425" s="188">
        <f t="shared" si="47"/>
        <v>1243036</v>
      </c>
      <c r="F425" s="188">
        <f t="shared" si="48"/>
        <v>1000000</v>
      </c>
      <c r="G425" s="373">
        <v>1000000</v>
      </c>
      <c r="H425" s="105"/>
      <c r="I425" s="105"/>
      <c r="J425" s="105"/>
      <c r="K425" s="105"/>
      <c r="L425" s="188">
        <f t="shared" si="49"/>
        <v>243036</v>
      </c>
      <c r="M425" s="105"/>
      <c r="N425" s="117">
        <v>30000</v>
      </c>
      <c r="O425" s="105"/>
      <c r="P425" s="105"/>
      <c r="Q425" s="105"/>
      <c r="R425" s="72">
        <v>64320</v>
      </c>
      <c r="S425" s="105"/>
      <c r="T425" s="320">
        <f>13440+69680</f>
        <v>83120</v>
      </c>
      <c r="U425" s="532"/>
      <c r="V425" s="370">
        <v>2880</v>
      </c>
      <c r="W425" s="105">
        <v>31356</v>
      </c>
      <c r="X425" s="105">
        <f>26800+4560</f>
        <v>31360</v>
      </c>
    </row>
    <row r="426" spans="1:24" s="1" customFormat="1" hidden="1">
      <c r="A426" s="371">
        <v>4</v>
      </c>
      <c r="B426" s="354" t="s">
        <v>34</v>
      </c>
      <c r="C426" s="354"/>
      <c r="D426" s="364" t="s">
        <v>367</v>
      </c>
      <c r="E426" s="188">
        <f t="shared" si="47"/>
        <v>8000</v>
      </c>
      <c r="F426" s="188">
        <f t="shared" si="48"/>
        <v>8000</v>
      </c>
      <c r="G426" s="373">
        <v>8000</v>
      </c>
      <c r="H426" s="105"/>
      <c r="I426" s="105"/>
      <c r="J426" s="105"/>
      <c r="K426" s="105"/>
      <c r="L426" s="188">
        <f t="shared" si="49"/>
        <v>0</v>
      </c>
      <c r="M426" s="105"/>
      <c r="N426" s="105"/>
      <c r="O426" s="105"/>
      <c r="P426" s="105"/>
      <c r="Q426" s="105"/>
      <c r="R426" s="105"/>
      <c r="S426" s="105"/>
      <c r="T426" s="105"/>
      <c r="U426" s="105"/>
      <c r="V426" s="105"/>
      <c r="W426" s="105"/>
      <c r="X426" s="105"/>
    </row>
    <row r="427" spans="1:24" s="1" customFormat="1" hidden="1">
      <c r="A427" s="371">
        <v>5</v>
      </c>
      <c r="B427" s="354" t="s">
        <v>34</v>
      </c>
      <c r="C427" s="354"/>
      <c r="D427" s="374" t="s">
        <v>368</v>
      </c>
      <c r="E427" s="188">
        <f t="shared" si="47"/>
        <v>20750</v>
      </c>
      <c r="F427" s="188">
        <f t="shared" si="48"/>
        <v>20000</v>
      </c>
      <c r="G427" s="373">
        <v>20000</v>
      </c>
      <c r="H427" s="135"/>
      <c r="I427" s="135"/>
      <c r="J427" s="135"/>
      <c r="K427" s="135"/>
      <c r="L427" s="188">
        <f t="shared" si="49"/>
        <v>750</v>
      </c>
      <c r="M427" s="111"/>
      <c r="N427" s="356"/>
      <c r="O427" s="117"/>
      <c r="P427" s="117"/>
      <c r="Q427" s="365"/>
      <c r="R427" s="117"/>
      <c r="S427" s="115"/>
      <c r="T427" s="117"/>
      <c r="U427" s="356"/>
      <c r="V427" s="109"/>
      <c r="W427" s="117"/>
      <c r="X427" s="135">
        <v>750</v>
      </c>
    </row>
    <row r="428" spans="1:24" s="1" customFormat="1" hidden="1">
      <c r="A428" s="371">
        <v>6</v>
      </c>
      <c r="B428" s="354" t="s">
        <v>34</v>
      </c>
      <c r="C428" s="354"/>
      <c r="D428" s="374" t="s">
        <v>369</v>
      </c>
      <c r="E428" s="188">
        <f t="shared" si="47"/>
        <v>35000</v>
      </c>
      <c r="F428" s="188">
        <f t="shared" si="48"/>
        <v>35000</v>
      </c>
      <c r="G428" s="373">
        <v>35000</v>
      </c>
      <c r="H428" s="135"/>
      <c r="I428" s="135"/>
      <c r="J428" s="135"/>
      <c r="K428" s="135"/>
      <c r="L428" s="188">
        <f t="shared" si="49"/>
        <v>0</v>
      </c>
      <c r="M428" s="111"/>
      <c r="N428" s="356"/>
      <c r="O428" s="135"/>
      <c r="P428" s="109"/>
      <c r="Q428" s="365"/>
      <c r="R428" s="117"/>
      <c r="S428" s="115"/>
      <c r="T428" s="117"/>
      <c r="U428" s="356"/>
      <c r="V428" s="109"/>
      <c r="W428" s="117"/>
      <c r="X428" s="135"/>
    </row>
    <row r="429" spans="1:24" s="1" customFormat="1" ht="22.5" hidden="1">
      <c r="A429" s="371">
        <v>7</v>
      </c>
      <c r="B429" s="354" t="s">
        <v>34</v>
      </c>
      <c r="C429" s="354"/>
      <c r="D429" s="364" t="s">
        <v>370</v>
      </c>
      <c r="E429" s="188">
        <f t="shared" si="47"/>
        <v>42000</v>
      </c>
      <c r="F429" s="188">
        <f t="shared" si="48"/>
        <v>42000</v>
      </c>
      <c r="G429" s="375">
        <v>42000</v>
      </c>
      <c r="H429" s="135"/>
      <c r="I429" s="135"/>
      <c r="J429" s="135"/>
      <c r="K429" s="135"/>
      <c r="L429" s="188">
        <f t="shared" si="49"/>
        <v>0</v>
      </c>
      <c r="M429" s="111"/>
      <c r="N429" s="356"/>
      <c r="O429" s="135"/>
      <c r="P429" s="109"/>
      <c r="Q429" s="365"/>
      <c r="R429" s="117"/>
      <c r="S429" s="115"/>
      <c r="T429" s="117"/>
      <c r="U429" s="356"/>
      <c r="V429" s="109"/>
      <c r="W429" s="117"/>
      <c r="X429" s="135"/>
    </row>
    <row r="430" spans="1:24" s="1" customFormat="1" hidden="1">
      <c r="A430" s="371">
        <v>8</v>
      </c>
      <c r="B430" s="354" t="s">
        <v>34</v>
      </c>
      <c r="C430" s="354"/>
      <c r="D430" s="364" t="s">
        <v>371</v>
      </c>
      <c r="E430" s="188">
        <f t="shared" si="47"/>
        <v>41350</v>
      </c>
      <c r="F430" s="188">
        <f t="shared" si="48"/>
        <v>10500</v>
      </c>
      <c r="G430" s="375">
        <v>10500</v>
      </c>
      <c r="H430" s="135"/>
      <c r="I430" s="135"/>
      <c r="J430" s="135"/>
      <c r="K430" s="135"/>
      <c r="L430" s="188">
        <f t="shared" si="49"/>
        <v>30850</v>
      </c>
      <c r="M430" s="111"/>
      <c r="N430" s="117">
        <v>15000</v>
      </c>
      <c r="O430" s="135">
        <v>14000</v>
      </c>
      <c r="P430" s="109"/>
      <c r="Q430" s="117"/>
      <c r="R430" s="117"/>
      <c r="S430" s="115"/>
      <c r="T430" s="117"/>
      <c r="U430" s="356"/>
      <c r="V430" s="109"/>
      <c r="W430" s="117"/>
      <c r="X430" s="135">
        <v>1850</v>
      </c>
    </row>
    <row r="431" spans="1:24" s="1" customFormat="1" ht="33.75" hidden="1">
      <c r="A431" s="371">
        <v>9</v>
      </c>
      <c r="B431" s="354" t="s">
        <v>34</v>
      </c>
      <c r="C431" s="354"/>
      <c r="D431" s="364" t="s">
        <v>372</v>
      </c>
      <c r="E431" s="188">
        <f t="shared" si="47"/>
        <v>585360</v>
      </c>
      <c r="F431" s="188">
        <f t="shared" si="48"/>
        <v>300000</v>
      </c>
      <c r="G431" s="375">
        <v>300000</v>
      </c>
      <c r="H431" s="135"/>
      <c r="I431" s="135"/>
      <c r="J431" s="135"/>
      <c r="K431" s="135"/>
      <c r="L431" s="188">
        <f t="shared" si="49"/>
        <v>285360</v>
      </c>
      <c r="M431" s="376">
        <v>148080</v>
      </c>
      <c r="N431" s="356"/>
      <c r="O431" s="135"/>
      <c r="P431" s="109"/>
      <c r="Q431" s="117"/>
      <c r="R431" s="117"/>
      <c r="S431" s="115"/>
      <c r="T431" s="117"/>
      <c r="U431" s="356">
        <v>135220</v>
      </c>
      <c r="V431" s="109"/>
      <c r="W431" s="117"/>
      <c r="X431" s="135">
        <v>2060</v>
      </c>
    </row>
    <row r="432" spans="1:24" s="1" customFormat="1" ht="67.5" hidden="1">
      <c r="A432" s="371">
        <v>10</v>
      </c>
      <c r="B432" s="354" t="s">
        <v>34</v>
      </c>
      <c r="C432" s="354"/>
      <c r="D432" s="364" t="s">
        <v>615</v>
      </c>
      <c r="E432" s="188">
        <f t="shared" si="47"/>
        <v>186466</v>
      </c>
      <c r="F432" s="188">
        <f t="shared" si="48"/>
        <v>150000</v>
      </c>
      <c r="G432" s="373">
        <v>150000</v>
      </c>
      <c r="H432" s="135"/>
      <c r="I432" s="135"/>
      <c r="J432" s="135"/>
      <c r="K432" s="135"/>
      <c r="L432" s="188">
        <f t="shared" si="49"/>
        <v>36466</v>
      </c>
      <c r="M432" s="111"/>
      <c r="N432" s="356"/>
      <c r="O432" s="135"/>
      <c r="P432" s="117"/>
      <c r="Q432" s="365">
        <v>4176</v>
      </c>
      <c r="R432" s="117">
        <v>7790</v>
      </c>
      <c r="S432" s="115"/>
      <c r="T432" s="377">
        <v>3520</v>
      </c>
      <c r="U432" s="356">
        <v>10000</v>
      </c>
      <c r="V432" s="109"/>
      <c r="W432" s="117"/>
      <c r="X432" s="135">
        <v>10980</v>
      </c>
    </row>
    <row r="433" spans="1:24" s="1" customFormat="1" ht="22.5" hidden="1">
      <c r="A433" s="371">
        <v>11</v>
      </c>
      <c r="B433" s="354" t="s">
        <v>34</v>
      </c>
      <c r="C433" s="354"/>
      <c r="D433" s="364" t="s">
        <v>374</v>
      </c>
      <c r="E433" s="188">
        <f t="shared" si="47"/>
        <v>100410</v>
      </c>
      <c r="F433" s="188">
        <f t="shared" si="48"/>
        <v>30000</v>
      </c>
      <c r="G433" s="378">
        <v>30000</v>
      </c>
      <c r="H433" s="135"/>
      <c r="I433" s="135"/>
      <c r="J433" s="135"/>
      <c r="K433" s="135"/>
      <c r="L433" s="188">
        <f t="shared" si="49"/>
        <v>70410</v>
      </c>
      <c r="M433" s="111"/>
      <c r="N433" s="117">
        <v>2500</v>
      </c>
      <c r="O433" s="135">
        <v>2400</v>
      </c>
      <c r="P433" s="117">
        <v>5410</v>
      </c>
      <c r="Q433" s="365">
        <v>1600</v>
      </c>
      <c r="R433" s="117"/>
      <c r="S433" s="115">
        <v>20000</v>
      </c>
      <c r="T433" s="72"/>
      <c r="U433" s="531">
        <v>35000</v>
      </c>
      <c r="V433" s="109"/>
      <c r="W433" s="111">
        <v>3000</v>
      </c>
      <c r="X433" s="135">
        <v>500</v>
      </c>
    </row>
    <row r="434" spans="1:24" s="1" customFormat="1" hidden="1">
      <c r="A434" s="371">
        <v>12</v>
      </c>
      <c r="B434" s="354" t="s">
        <v>34</v>
      </c>
      <c r="C434" s="354"/>
      <c r="D434" s="374" t="s">
        <v>375</v>
      </c>
      <c r="E434" s="188">
        <f t="shared" si="47"/>
        <v>20000</v>
      </c>
      <c r="F434" s="188">
        <f t="shared" si="48"/>
        <v>20000</v>
      </c>
      <c r="G434" s="378">
        <v>20000</v>
      </c>
      <c r="H434" s="135"/>
      <c r="I434" s="135"/>
      <c r="J434" s="135"/>
      <c r="K434" s="135"/>
      <c r="L434" s="188">
        <f t="shared" si="49"/>
        <v>0</v>
      </c>
      <c r="M434" s="111"/>
      <c r="N434" s="356"/>
      <c r="O434" s="135"/>
      <c r="P434" s="117"/>
      <c r="Q434" s="365"/>
      <c r="R434" s="117"/>
      <c r="S434" s="115"/>
      <c r="T434" s="117"/>
      <c r="U434" s="356"/>
      <c r="V434" s="109"/>
      <c r="W434" s="117"/>
      <c r="X434" s="135"/>
    </row>
    <row r="435" spans="1:24" s="1" customFormat="1" hidden="1">
      <c r="A435" s="371">
        <v>13</v>
      </c>
      <c r="B435" s="354" t="s">
        <v>34</v>
      </c>
      <c r="C435" s="354"/>
      <c r="D435" s="585" t="s">
        <v>376</v>
      </c>
      <c r="E435" s="188">
        <f t="shared" si="47"/>
        <v>131863</v>
      </c>
      <c r="F435" s="188">
        <f t="shared" si="48"/>
        <v>70000</v>
      </c>
      <c r="G435" s="378">
        <v>70000</v>
      </c>
      <c r="H435" s="135"/>
      <c r="I435" s="135"/>
      <c r="J435" s="135"/>
      <c r="K435" s="135"/>
      <c r="L435" s="188">
        <f t="shared" si="49"/>
        <v>61863</v>
      </c>
      <c r="M435" s="111"/>
      <c r="N435" s="345">
        <v>11463</v>
      </c>
      <c r="O435" s="135"/>
      <c r="P435" s="117"/>
      <c r="Q435" s="365"/>
      <c r="R435" s="117"/>
      <c r="S435" s="117"/>
      <c r="T435" s="117"/>
      <c r="U435" s="356">
        <v>50400</v>
      </c>
      <c r="V435" s="109"/>
      <c r="W435" s="117"/>
      <c r="X435" s="135"/>
    </row>
    <row r="436" spans="1:24" s="1" customFormat="1" ht="22.5" hidden="1">
      <c r="A436" s="371">
        <v>14</v>
      </c>
      <c r="B436" s="354" t="s">
        <v>34</v>
      </c>
      <c r="C436" s="354"/>
      <c r="D436" s="379" t="s">
        <v>377</v>
      </c>
      <c r="E436" s="188">
        <f t="shared" si="47"/>
        <v>161000</v>
      </c>
      <c r="F436" s="188">
        <f t="shared" si="48"/>
        <v>161000</v>
      </c>
      <c r="G436" s="378">
        <v>161000</v>
      </c>
      <c r="H436" s="135"/>
      <c r="I436" s="135"/>
      <c r="J436" s="135"/>
      <c r="K436" s="135"/>
      <c r="L436" s="188">
        <f t="shared" si="49"/>
        <v>0</v>
      </c>
      <c r="M436" s="376"/>
      <c r="N436" s="138"/>
      <c r="O436" s="135"/>
      <c r="P436" s="345"/>
      <c r="Q436" s="365"/>
      <c r="R436" s="345"/>
      <c r="S436" s="345"/>
      <c r="T436" s="345"/>
      <c r="U436" s="138"/>
      <c r="V436" s="138"/>
      <c r="W436" s="345"/>
      <c r="X436" s="135"/>
    </row>
    <row r="437" spans="1:24" s="72" customFormat="1" ht="33.75" hidden="1">
      <c r="A437" s="371">
        <v>15</v>
      </c>
      <c r="B437" s="354" t="s">
        <v>34</v>
      </c>
      <c r="C437" s="354"/>
      <c r="D437" s="364" t="s">
        <v>378</v>
      </c>
      <c r="E437" s="188">
        <f t="shared" si="47"/>
        <v>54000</v>
      </c>
      <c r="F437" s="188">
        <f t="shared" si="48"/>
        <v>50000</v>
      </c>
      <c r="G437" s="105">
        <v>50000</v>
      </c>
      <c r="H437" s="105"/>
      <c r="I437" s="105"/>
      <c r="J437" s="105"/>
      <c r="K437" s="105"/>
      <c r="L437" s="188">
        <f t="shared" si="49"/>
        <v>4000</v>
      </c>
      <c r="M437" s="105"/>
      <c r="N437" s="105"/>
      <c r="O437" s="105"/>
      <c r="P437" s="105">
        <v>4000</v>
      </c>
      <c r="Q437" s="105"/>
      <c r="R437" s="105"/>
      <c r="S437" s="105"/>
      <c r="T437" s="105"/>
      <c r="U437" s="105"/>
      <c r="V437" s="105"/>
      <c r="W437" s="105"/>
      <c r="X437" s="105"/>
    </row>
    <row r="438" spans="1:24" s="1" customFormat="1" ht="22.5" hidden="1">
      <c r="A438" s="371">
        <v>16</v>
      </c>
      <c r="B438" s="354" t="s">
        <v>34</v>
      </c>
      <c r="C438" s="354"/>
      <c r="D438" s="364" t="s">
        <v>379</v>
      </c>
      <c r="E438" s="188">
        <f t="shared" si="47"/>
        <v>150000</v>
      </c>
      <c r="F438" s="188">
        <f t="shared" si="48"/>
        <v>150000</v>
      </c>
      <c r="G438" s="105">
        <v>150000</v>
      </c>
      <c r="H438" s="135"/>
      <c r="I438" s="135"/>
      <c r="J438" s="135"/>
      <c r="K438" s="135"/>
      <c r="L438" s="188">
        <f t="shared" si="49"/>
        <v>0</v>
      </c>
      <c r="M438" s="111"/>
      <c r="N438" s="356"/>
      <c r="O438" s="135"/>
      <c r="P438" s="117"/>
      <c r="Q438" s="365"/>
      <c r="R438" s="117"/>
      <c r="S438" s="115"/>
      <c r="T438" s="117"/>
      <c r="U438" s="356"/>
      <c r="V438" s="109"/>
      <c r="W438" s="117"/>
      <c r="X438" s="135"/>
    </row>
    <row r="439" spans="1:24" s="1" customFormat="1" ht="22.5" hidden="1">
      <c r="A439" s="371">
        <v>17</v>
      </c>
      <c r="B439" s="354" t="s">
        <v>34</v>
      </c>
      <c r="C439" s="556"/>
      <c r="D439" s="380" t="s">
        <v>380</v>
      </c>
      <c r="E439" s="188">
        <f t="shared" si="47"/>
        <v>150000</v>
      </c>
      <c r="F439" s="188">
        <f t="shared" si="48"/>
        <v>150000</v>
      </c>
      <c r="G439" s="381">
        <v>150000</v>
      </c>
      <c r="H439" s="135"/>
      <c r="I439" s="135"/>
      <c r="J439" s="135"/>
      <c r="K439" s="135"/>
      <c r="L439" s="188">
        <f t="shared" si="49"/>
        <v>0</v>
      </c>
      <c r="M439" s="111"/>
      <c r="N439" s="356"/>
      <c r="O439" s="135"/>
      <c r="P439" s="117"/>
      <c r="Q439" s="365"/>
      <c r="R439" s="117"/>
      <c r="S439" s="115"/>
      <c r="T439" s="117"/>
      <c r="U439" s="356"/>
      <c r="V439" s="109"/>
      <c r="W439" s="117"/>
      <c r="X439" s="135"/>
    </row>
    <row r="440" spans="1:24" s="1" customFormat="1" hidden="1">
      <c r="A440" s="382">
        <v>18</v>
      </c>
      <c r="B440" s="354" t="s">
        <v>34</v>
      </c>
      <c r="C440" s="556"/>
      <c r="D440" s="383" t="s">
        <v>381</v>
      </c>
      <c r="E440" s="188">
        <f t="shared" si="47"/>
        <v>144312</v>
      </c>
      <c r="F440" s="188">
        <f t="shared" si="48"/>
        <v>50000</v>
      </c>
      <c r="G440" s="384">
        <v>50000</v>
      </c>
      <c r="H440" s="135"/>
      <c r="I440" s="135"/>
      <c r="J440" s="135"/>
      <c r="K440" s="256"/>
      <c r="L440" s="188">
        <f t="shared" si="49"/>
        <v>94312</v>
      </c>
      <c r="M440" s="111">
        <v>4000</v>
      </c>
      <c r="N440" s="356"/>
      <c r="O440" s="135">
        <v>4000</v>
      </c>
      <c r="P440" s="117">
        <f>12800+2400</f>
        <v>15200</v>
      </c>
      <c r="Q440" s="365">
        <v>2560</v>
      </c>
      <c r="R440" s="117">
        <v>13440</v>
      </c>
      <c r="S440" s="385">
        <v>3040</v>
      </c>
      <c r="T440" s="117"/>
      <c r="U440" s="356">
        <v>46392</v>
      </c>
      <c r="V440" s="109"/>
      <c r="W440" s="111">
        <v>2880</v>
      </c>
      <c r="X440" s="386">
        <f>1440+1360</f>
        <v>2800</v>
      </c>
    </row>
    <row r="441" spans="1:24" s="1" customFormat="1" hidden="1">
      <c r="A441" s="122">
        <v>19</v>
      </c>
      <c r="B441" s="354" t="s">
        <v>34</v>
      </c>
      <c r="C441" s="354"/>
      <c r="D441" s="105" t="s">
        <v>382</v>
      </c>
      <c r="E441" s="188">
        <f t="shared" si="47"/>
        <v>120650</v>
      </c>
      <c r="F441" s="188">
        <f t="shared" si="48"/>
        <v>50000</v>
      </c>
      <c r="G441" s="105">
        <v>50000</v>
      </c>
      <c r="H441" s="135"/>
      <c r="I441" s="135"/>
      <c r="J441" s="135"/>
      <c r="K441" s="256"/>
      <c r="L441" s="188">
        <f t="shared" si="49"/>
        <v>70650</v>
      </c>
      <c r="M441" s="105"/>
      <c r="N441" s="105"/>
      <c r="O441" s="105"/>
      <c r="P441" s="369">
        <v>12800</v>
      </c>
      <c r="Q441" s="105">
        <v>5400</v>
      </c>
      <c r="R441" s="105"/>
      <c r="S441" s="105">
        <v>8000</v>
      </c>
      <c r="T441" s="377">
        <v>2700</v>
      </c>
      <c r="U441" s="105">
        <v>6000</v>
      </c>
      <c r="V441" s="387">
        <v>5950</v>
      </c>
      <c r="W441" s="105">
        <v>22800</v>
      </c>
      <c r="X441" s="105">
        <v>7000</v>
      </c>
    </row>
    <row r="442" spans="1:24" s="1" customFormat="1" hidden="1">
      <c r="A442" s="122">
        <v>20</v>
      </c>
      <c r="B442" s="354" t="s">
        <v>34</v>
      </c>
      <c r="C442" s="354"/>
      <c r="D442" s="105" t="s">
        <v>383</v>
      </c>
      <c r="E442" s="188">
        <f t="shared" si="47"/>
        <v>431800</v>
      </c>
      <c r="F442" s="188">
        <f t="shared" si="48"/>
        <v>250000</v>
      </c>
      <c r="G442" s="105">
        <v>250000</v>
      </c>
      <c r="H442" s="135"/>
      <c r="I442" s="135"/>
      <c r="J442" s="135"/>
      <c r="K442" s="256"/>
      <c r="L442" s="188">
        <f t="shared" si="49"/>
        <v>181800</v>
      </c>
      <c r="M442" s="105"/>
      <c r="N442" s="105"/>
      <c r="O442" s="105"/>
      <c r="P442" s="105">
        <v>21000</v>
      </c>
      <c r="Q442" s="105">
        <v>30000</v>
      </c>
      <c r="R442" s="105"/>
      <c r="S442" s="105">
        <v>27000</v>
      </c>
      <c r="T442" s="320">
        <v>9000</v>
      </c>
      <c r="U442" s="105">
        <v>29500</v>
      </c>
      <c r="V442" s="387">
        <v>12500</v>
      </c>
      <c r="W442" s="105">
        <v>34800</v>
      </c>
      <c r="X442" s="105">
        <v>18000</v>
      </c>
    </row>
    <row r="443" spans="1:24" s="1" customFormat="1" ht="33.75" hidden="1">
      <c r="A443" s="122">
        <v>21</v>
      </c>
      <c r="B443" s="354" t="s">
        <v>34</v>
      </c>
      <c r="C443" s="354"/>
      <c r="D443" s="364" t="s">
        <v>384</v>
      </c>
      <c r="E443" s="188">
        <f t="shared" si="47"/>
        <v>9000</v>
      </c>
      <c r="F443" s="188">
        <f t="shared" si="48"/>
        <v>0</v>
      </c>
      <c r="G443" s="105"/>
      <c r="H443" s="105"/>
      <c r="I443" s="105"/>
      <c r="J443" s="105"/>
      <c r="K443" s="105"/>
      <c r="L443" s="188">
        <f t="shared" si="49"/>
        <v>9000</v>
      </c>
      <c r="M443" s="111">
        <v>9000</v>
      </c>
      <c r="N443" s="105"/>
      <c r="O443" s="105"/>
      <c r="P443" s="105"/>
      <c r="Q443" s="105"/>
      <c r="R443" s="105"/>
      <c r="S443" s="105"/>
      <c r="T443" s="105"/>
      <c r="U443" s="105"/>
      <c r="V443" s="105"/>
      <c r="W443" s="105"/>
      <c r="X443" s="105"/>
    </row>
    <row r="444" spans="1:24" s="1" customFormat="1" ht="22.5" hidden="1">
      <c r="A444" s="122">
        <v>22</v>
      </c>
      <c r="B444" s="354" t="s">
        <v>34</v>
      </c>
      <c r="C444" s="354"/>
      <c r="D444" s="104" t="s">
        <v>385</v>
      </c>
      <c r="E444" s="188">
        <f t="shared" si="47"/>
        <v>55600</v>
      </c>
      <c r="F444" s="188">
        <f t="shared" si="48"/>
        <v>0</v>
      </c>
      <c r="G444" s="105"/>
      <c r="H444" s="105"/>
      <c r="I444" s="105"/>
      <c r="J444" s="105"/>
      <c r="K444" s="105"/>
      <c r="L444" s="188">
        <f t="shared" si="49"/>
        <v>55600</v>
      </c>
      <c r="M444" s="105">
        <v>55600</v>
      </c>
      <c r="N444" s="105"/>
      <c r="O444" s="105"/>
      <c r="P444" s="105"/>
      <c r="Q444" s="105"/>
      <c r="R444" s="105"/>
      <c r="S444" s="105"/>
      <c r="T444" s="105"/>
      <c r="U444" s="105"/>
      <c r="V444" s="105"/>
      <c r="W444" s="105"/>
      <c r="X444" s="105"/>
    </row>
    <row r="445" spans="1:24" s="35" customFormat="1" ht="21" hidden="1">
      <c r="A445" s="388">
        <v>12</v>
      </c>
      <c r="B445" s="362" t="s">
        <v>34</v>
      </c>
      <c r="C445" s="362"/>
      <c r="D445" s="389" t="s">
        <v>22</v>
      </c>
      <c r="E445" s="51">
        <f t="shared" si="47"/>
        <v>2471445.2000000002</v>
      </c>
      <c r="F445" s="51">
        <f t="shared" si="48"/>
        <v>400000</v>
      </c>
      <c r="G445" s="96">
        <f>SUM(G446:G456)</f>
        <v>400000</v>
      </c>
      <c r="H445" s="96">
        <f t="shared" ref="H445:X445" si="52">SUM(H446:H456)</f>
        <v>0</v>
      </c>
      <c r="I445" s="96">
        <f t="shared" si="52"/>
        <v>0</v>
      </c>
      <c r="J445" s="96">
        <f t="shared" si="52"/>
        <v>0</v>
      </c>
      <c r="K445" s="96">
        <f t="shared" si="52"/>
        <v>0</v>
      </c>
      <c r="L445" s="51">
        <f t="shared" si="49"/>
        <v>2071445.2</v>
      </c>
      <c r="M445" s="96">
        <f t="shared" si="52"/>
        <v>514981</v>
      </c>
      <c r="N445" s="96">
        <f t="shared" si="52"/>
        <v>60114</v>
      </c>
      <c r="O445" s="96">
        <f t="shared" si="52"/>
        <v>39344</v>
      </c>
      <c r="P445" s="96">
        <f t="shared" si="52"/>
        <v>174358</v>
      </c>
      <c r="Q445" s="96">
        <f t="shared" si="52"/>
        <v>221400</v>
      </c>
      <c r="R445" s="96">
        <f t="shared" si="52"/>
        <v>41214.199999999997</v>
      </c>
      <c r="S445" s="96">
        <f t="shared" si="52"/>
        <v>179542</v>
      </c>
      <c r="T445" s="96">
        <f t="shared" si="52"/>
        <v>209773</v>
      </c>
      <c r="U445" s="96">
        <f t="shared" si="52"/>
        <v>242379</v>
      </c>
      <c r="V445" s="96">
        <f t="shared" si="52"/>
        <v>160300</v>
      </c>
      <c r="W445" s="96">
        <f t="shared" si="52"/>
        <v>121100</v>
      </c>
      <c r="X445" s="96">
        <f t="shared" si="52"/>
        <v>106940</v>
      </c>
    </row>
    <row r="446" spans="1:24" s="1" customFormat="1" ht="45" hidden="1">
      <c r="A446" s="196">
        <v>1</v>
      </c>
      <c r="B446" s="354" t="s">
        <v>34</v>
      </c>
      <c r="C446" s="354"/>
      <c r="D446" s="576" t="s">
        <v>502</v>
      </c>
      <c r="E446" s="188">
        <f t="shared" si="47"/>
        <v>51093</v>
      </c>
      <c r="F446" s="188">
        <f t="shared" si="48"/>
        <v>20000</v>
      </c>
      <c r="G446" s="320">
        <v>20000</v>
      </c>
      <c r="H446" s="135"/>
      <c r="I446" s="135"/>
      <c r="J446" s="135"/>
      <c r="K446" s="135"/>
      <c r="L446" s="188">
        <f t="shared" si="49"/>
        <v>31093</v>
      </c>
      <c r="M446" s="111"/>
      <c r="N446" s="356"/>
      <c r="O446" s="135"/>
      <c r="P446" s="117">
        <v>1920</v>
      </c>
      <c r="Q446" s="365">
        <v>5000</v>
      </c>
      <c r="R446" s="117"/>
      <c r="S446" s="115">
        <v>3838</v>
      </c>
      <c r="T446" s="117">
        <v>11295</v>
      </c>
      <c r="U446" s="356">
        <v>9040</v>
      </c>
      <c r="V446" s="109">
        <v>0</v>
      </c>
      <c r="W446" s="117"/>
      <c r="X446" s="111"/>
    </row>
    <row r="447" spans="1:24" s="1" customFormat="1" ht="22.5" hidden="1">
      <c r="A447" s="196">
        <v>2</v>
      </c>
      <c r="B447" s="354" t="s">
        <v>34</v>
      </c>
      <c r="C447" s="354"/>
      <c r="D447" s="187" t="s">
        <v>503</v>
      </c>
      <c r="E447" s="188">
        <f t="shared" si="47"/>
        <v>41280</v>
      </c>
      <c r="F447" s="188">
        <f t="shared" si="48"/>
        <v>41280</v>
      </c>
      <c r="G447" s="320">
        <v>41280</v>
      </c>
      <c r="H447" s="135"/>
      <c r="I447" s="135"/>
      <c r="J447" s="135"/>
      <c r="K447" s="135"/>
      <c r="L447" s="188">
        <f t="shared" si="49"/>
        <v>0</v>
      </c>
      <c r="M447" s="111"/>
      <c r="N447" s="356"/>
      <c r="O447" s="135"/>
      <c r="P447" s="117"/>
      <c r="Q447" s="365"/>
      <c r="R447" s="117"/>
      <c r="S447" s="115"/>
      <c r="T447" s="117"/>
      <c r="U447" s="356"/>
      <c r="V447" s="109"/>
      <c r="W447" s="117"/>
      <c r="X447" s="111"/>
    </row>
    <row r="448" spans="1:24" s="1" customFormat="1" ht="45" hidden="1">
      <c r="A448" s="196">
        <v>3</v>
      </c>
      <c r="B448" s="354" t="s">
        <v>34</v>
      </c>
      <c r="C448" s="354"/>
      <c r="D448" s="364" t="s">
        <v>54</v>
      </c>
      <c r="E448" s="188">
        <f t="shared" si="47"/>
        <v>226200</v>
      </c>
      <c r="F448" s="188">
        <f t="shared" si="48"/>
        <v>0</v>
      </c>
      <c r="G448" s="320"/>
      <c r="H448" s="135"/>
      <c r="I448" s="135"/>
      <c r="J448" s="135"/>
      <c r="K448" s="135"/>
      <c r="L448" s="188">
        <f t="shared" si="49"/>
        <v>226200</v>
      </c>
      <c r="M448" s="111">
        <v>28800</v>
      </c>
      <c r="N448" s="356">
        <v>10800</v>
      </c>
      <c r="O448" s="135">
        <v>18000</v>
      </c>
      <c r="P448" s="117">
        <v>27000</v>
      </c>
      <c r="Q448" s="365">
        <v>28800</v>
      </c>
      <c r="R448" s="117"/>
      <c r="S448" s="115">
        <v>34200</v>
      </c>
      <c r="T448" s="117">
        <v>19800</v>
      </c>
      <c r="U448" s="356">
        <v>8400</v>
      </c>
      <c r="V448" s="111">
        <v>18000</v>
      </c>
      <c r="W448" s="117">
        <v>16200</v>
      </c>
      <c r="X448" s="111">
        <v>16200</v>
      </c>
    </row>
    <row r="449" spans="1:24" s="1" customFormat="1" ht="33.75" hidden="1">
      <c r="A449" s="196">
        <v>4</v>
      </c>
      <c r="B449" s="354" t="s">
        <v>34</v>
      </c>
      <c r="C449" s="354"/>
      <c r="D449" s="364" t="s">
        <v>55</v>
      </c>
      <c r="E449" s="188">
        <f t="shared" si="47"/>
        <v>308600</v>
      </c>
      <c r="F449" s="188">
        <f t="shared" si="48"/>
        <v>0</v>
      </c>
      <c r="G449" s="320"/>
      <c r="H449" s="135"/>
      <c r="I449" s="135"/>
      <c r="J449" s="135"/>
      <c r="K449" s="135"/>
      <c r="L449" s="188">
        <f t="shared" si="49"/>
        <v>308600</v>
      </c>
      <c r="M449" s="111"/>
      <c r="N449" s="356">
        <v>12000</v>
      </c>
      <c r="O449" s="135"/>
      <c r="P449" s="117">
        <v>36000</v>
      </c>
      <c r="Q449" s="365">
        <v>48000</v>
      </c>
      <c r="R449" s="117"/>
      <c r="S449" s="115">
        <v>32400</v>
      </c>
      <c r="T449" s="117"/>
      <c r="U449" s="356">
        <v>72000</v>
      </c>
      <c r="V449" s="111">
        <v>32000</v>
      </c>
      <c r="W449" s="117">
        <v>46200</v>
      </c>
      <c r="X449" s="111">
        <v>30000</v>
      </c>
    </row>
    <row r="450" spans="1:24" s="1" customFormat="1" ht="22.5" hidden="1">
      <c r="A450" s="196">
        <v>5</v>
      </c>
      <c r="B450" s="354" t="s">
        <v>34</v>
      </c>
      <c r="C450" s="354"/>
      <c r="D450" s="191" t="s">
        <v>433</v>
      </c>
      <c r="E450" s="188">
        <f t="shared" si="47"/>
        <v>276929</v>
      </c>
      <c r="F450" s="188">
        <f t="shared" si="48"/>
        <v>157740</v>
      </c>
      <c r="G450" s="115">
        <v>157740</v>
      </c>
      <c r="H450" s="135"/>
      <c r="I450" s="135"/>
      <c r="J450" s="135"/>
      <c r="K450" s="135"/>
      <c r="L450" s="188">
        <f t="shared" si="49"/>
        <v>119189</v>
      </c>
      <c r="M450" s="136"/>
      <c r="N450" s="135"/>
      <c r="O450" s="189"/>
      <c r="P450" s="115">
        <v>14720</v>
      </c>
      <c r="Q450" s="137">
        <v>10000</v>
      </c>
      <c r="R450" s="137">
        <v>8680</v>
      </c>
      <c r="S450" s="115">
        <v>3000</v>
      </c>
      <c r="T450" s="137">
        <v>22380</v>
      </c>
      <c r="U450" s="190">
        <v>44129</v>
      </c>
      <c r="V450" s="136">
        <v>7500</v>
      </c>
      <c r="W450" s="137">
        <v>1440</v>
      </c>
      <c r="X450" s="137">
        <v>7340</v>
      </c>
    </row>
    <row r="451" spans="1:24" s="1" customFormat="1" ht="33.75" hidden="1">
      <c r="A451" s="196">
        <v>6</v>
      </c>
      <c r="B451" s="354" t="s">
        <v>34</v>
      </c>
      <c r="C451" s="354"/>
      <c r="D451" s="364" t="s">
        <v>504</v>
      </c>
      <c r="E451" s="188">
        <f t="shared" si="47"/>
        <v>20000</v>
      </c>
      <c r="F451" s="188">
        <f t="shared" si="48"/>
        <v>10000</v>
      </c>
      <c r="G451" s="320">
        <v>10000</v>
      </c>
      <c r="H451" s="135"/>
      <c r="I451" s="135"/>
      <c r="J451" s="135"/>
      <c r="K451" s="135"/>
      <c r="L451" s="188">
        <f t="shared" si="49"/>
        <v>10000</v>
      </c>
      <c r="M451" s="111"/>
      <c r="N451" s="356"/>
      <c r="O451" s="135"/>
      <c r="P451" s="117">
        <v>10000</v>
      </c>
      <c r="Q451" s="365"/>
      <c r="R451" s="117"/>
      <c r="S451" s="115"/>
      <c r="T451" s="117"/>
      <c r="U451" s="356"/>
      <c r="V451" s="111"/>
      <c r="W451" s="117"/>
      <c r="X451" s="111"/>
    </row>
    <row r="452" spans="1:24" s="1" customFormat="1" ht="22.5" hidden="1">
      <c r="A452" s="196">
        <v>7</v>
      </c>
      <c r="B452" s="354" t="s">
        <v>34</v>
      </c>
      <c r="C452" s="354"/>
      <c r="D452" s="364" t="s">
        <v>56</v>
      </c>
      <c r="E452" s="188">
        <f t="shared" si="47"/>
        <v>111450</v>
      </c>
      <c r="F452" s="188">
        <f t="shared" si="48"/>
        <v>70980</v>
      </c>
      <c r="G452" s="320">
        <v>70980</v>
      </c>
      <c r="H452" s="135"/>
      <c r="I452" s="135"/>
      <c r="J452" s="135"/>
      <c r="K452" s="135"/>
      <c r="L452" s="188">
        <f t="shared" si="49"/>
        <v>40470</v>
      </c>
      <c r="M452" s="111">
        <v>6900</v>
      </c>
      <c r="N452" s="356"/>
      <c r="O452" s="135">
        <v>1180</v>
      </c>
      <c r="P452" s="117">
        <v>4600</v>
      </c>
      <c r="Q452" s="365">
        <v>3000</v>
      </c>
      <c r="R452" s="117">
        <v>1270</v>
      </c>
      <c r="S452" s="115"/>
      <c r="T452" s="117">
        <v>3500</v>
      </c>
      <c r="U452" s="356">
        <v>12760</v>
      </c>
      <c r="V452" s="111">
        <v>2800</v>
      </c>
      <c r="W452" s="117">
        <v>2160</v>
      </c>
      <c r="X452" s="111">
        <v>2300</v>
      </c>
    </row>
    <row r="453" spans="1:24" s="1" customFormat="1" ht="22.5" hidden="1">
      <c r="A453" s="196">
        <v>8</v>
      </c>
      <c r="B453" s="354" t="s">
        <v>34</v>
      </c>
      <c r="C453" s="354"/>
      <c r="D453" s="364" t="s">
        <v>505</v>
      </c>
      <c r="E453" s="188">
        <f t="shared" si="47"/>
        <v>6088</v>
      </c>
      <c r="F453" s="188">
        <f t="shared" si="48"/>
        <v>0</v>
      </c>
      <c r="G453" s="320"/>
      <c r="H453" s="135"/>
      <c r="I453" s="135"/>
      <c r="J453" s="135"/>
      <c r="K453" s="135"/>
      <c r="L453" s="188">
        <f t="shared" si="49"/>
        <v>6088</v>
      </c>
      <c r="M453" s="111">
        <v>538</v>
      </c>
      <c r="N453" s="356"/>
      <c r="O453" s="135">
        <v>1000</v>
      </c>
      <c r="P453" s="117"/>
      <c r="Q453" s="365">
        <v>1600</v>
      </c>
      <c r="R453" s="117"/>
      <c r="S453" s="115"/>
      <c r="T453" s="117"/>
      <c r="U453" s="356">
        <v>750</v>
      </c>
      <c r="V453" s="109"/>
      <c r="W453" s="117">
        <v>1200</v>
      </c>
      <c r="X453" s="111">
        <v>1000</v>
      </c>
    </row>
    <row r="454" spans="1:24" s="1" customFormat="1" ht="22.5" hidden="1">
      <c r="A454" s="196">
        <v>9</v>
      </c>
      <c r="B454" s="354" t="s">
        <v>34</v>
      </c>
      <c r="C454" s="354"/>
      <c r="D454" s="364" t="s">
        <v>506</v>
      </c>
      <c r="E454" s="188">
        <f t="shared" si="47"/>
        <v>32704</v>
      </c>
      <c r="F454" s="188">
        <f t="shared" si="48"/>
        <v>0</v>
      </c>
      <c r="G454" s="105"/>
      <c r="H454" s="105"/>
      <c r="I454" s="105"/>
      <c r="J454" s="105"/>
      <c r="K454" s="105"/>
      <c r="L454" s="188">
        <f t="shared" si="49"/>
        <v>32704</v>
      </c>
      <c r="M454" s="105">
        <v>5540</v>
      </c>
      <c r="N454" s="105">
        <v>8000</v>
      </c>
      <c r="O454" s="105">
        <v>19164</v>
      </c>
      <c r="P454" s="105"/>
      <c r="Q454" s="105"/>
      <c r="R454" s="105"/>
      <c r="S454" s="105"/>
      <c r="T454" s="105"/>
      <c r="U454" s="105"/>
      <c r="V454" s="105"/>
      <c r="W454" s="105"/>
      <c r="X454" s="105"/>
    </row>
    <row r="455" spans="1:24" s="1" customFormat="1" hidden="1">
      <c r="A455" s="196">
        <v>10</v>
      </c>
      <c r="B455" s="354" t="s">
        <v>34</v>
      </c>
      <c r="C455" s="354"/>
      <c r="D455" s="104" t="s">
        <v>292</v>
      </c>
      <c r="E455" s="188">
        <f t="shared" si="47"/>
        <v>1397101.2</v>
      </c>
      <c r="F455" s="188">
        <f t="shared" si="48"/>
        <v>100000</v>
      </c>
      <c r="G455" s="105">
        <v>100000</v>
      </c>
      <c r="H455" s="105"/>
      <c r="I455" s="105"/>
      <c r="J455" s="105"/>
      <c r="K455" s="105"/>
      <c r="L455" s="188">
        <f t="shared" si="49"/>
        <v>1297101.2</v>
      </c>
      <c r="M455" s="105">
        <v>473203</v>
      </c>
      <c r="N455" s="105">
        <v>29314</v>
      </c>
      <c r="O455" s="105"/>
      <c r="P455" s="105">
        <v>80118</v>
      </c>
      <c r="Q455" s="105">
        <v>125000</v>
      </c>
      <c r="R455" s="233">
        <v>31264.2</v>
      </c>
      <c r="S455" s="105">
        <v>106104</v>
      </c>
      <c r="T455" s="105">
        <v>152798</v>
      </c>
      <c r="U455" s="105">
        <v>95300</v>
      </c>
      <c r="V455" s="105">
        <v>100000</v>
      </c>
      <c r="W455" s="105">
        <v>53900</v>
      </c>
      <c r="X455" s="105">
        <v>50100</v>
      </c>
    </row>
    <row r="456" spans="1:24" s="1" customFormat="1" hidden="1">
      <c r="A456" s="196">
        <v>11</v>
      </c>
      <c r="B456" s="354" t="s">
        <v>34</v>
      </c>
      <c r="C456" s="354"/>
      <c r="D456" s="104" t="s">
        <v>291</v>
      </c>
      <c r="E456" s="188">
        <f t="shared" si="47"/>
        <v>0</v>
      </c>
      <c r="F456" s="188">
        <f t="shared" si="48"/>
        <v>0</v>
      </c>
      <c r="G456" s="105"/>
      <c r="H456" s="105"/>
      <c r="I456" s="105"/>
      <c r="J456" s="105"/>
      <c r="K456" s="105"/>
      <c r="L456" s="188">
        <f t="shared" si="49"/>
        <v>0</v>
      </c>
      <c r="M456" s="105"/>
      <c r="N456" s="105"/>
      <c r="O456" s="105"/>
      <c r="P456" s="105"/>
      <c r="Q456" s="105"/>
      <c r="R456" s="105"/>
      <c r="S456" s="105"/>
      <c r="T456" s="105"/>
      <c r="U456" s="105"/>
      <c r="V456" s="105"/>
      <c r="W456" s="105"/>
      <c r="X456" s="105"/>
    </row>
    <row r="457" spans="1:24" s="35" customFormat="1" ht="21" hidden="1">
      <c r="A457" s="95">
        <v>13</v>
      </c>
      <c r="B457" s="533" t="s">
        <v>582</v>
      </c>
      <c r="C457" s="533"/>
      <c r="D457" s="129" t="s">
        <v>256</v>
      </c>
      <c r="E457" s="51">
        <f t="shared" si="47"/>
        <v>100000</v>
      </c>
      <c r="F457" s="51">
        <f t="shared" si="48"/>
        <v>100000</v>
      </c>
      <c r="G457" s="96">
        <f>SUM(G458)</f>
        <v>0</v>
      </c>
      <c r="H457" s="96">
        <f t="shared" ref="H457:X457" si="53">SUM(H458)</f>
        <v>0</v>
      </c>
      <c r="I457" s="96">
        <f t="shared" si="53"/>
        <v>0</v>
      </c>
      <c r="J457" s="96">
        <f t="shared" si="53"/>
        <v>100000</v>
      </c>
      <c r="K457" s="96">
        <f t="shared" si="53"/>
        <v>0</v>
      </c>
      <c r="L457" s="51">
        <f t="shared" si="49"/>
        <v>0</v>
      </c>
      <c r="M457" s="96">
        <f t="shared" si="53"/>
        <v>0</v>
      </c>
      <c r="N457" s="96">
        <f t="shared" si="53"/>
        <v>0</v>
      </c>
      <c r="O457" s="96">
        <f t="shared" si="53"/>
        <v>0</v>
      </c>
      <c r="P457" s="96">
        <f t="shared" si="53"/>
        <v>0</v>
      </c>
      <c r="Q457" s="96">
        <f t="shared" si="53"/>
        <v>0</v>
      </c>
      <c r="R457" s="96">
        <f t="shared" si="53"/>
        <v>0</v>
      </c>
      <c r="S457" s="96">
        <f t="shared" si="53"/>
        <v>0</v>
      </c>
      <c r="T457" s="96">
        <f t="shared" si="53"/>
        <v>0</v>
      </c>
      <c r="U457" s="96">
        <f t="shared" si="53"/>
        <v>0</v>
      </c>
      <c r="V457" s="96">
        <f t="shared" si="53"/>
        <v>0</v>
      </c>
      <c r="W457" s="96">
        <f t="shared" si="53"/>
        <v>0</v>
      </c>
      <c r="X457" s="96">
        <f t="shared" si="53"/>
        <v>0</v>
      </c>
    </row>
    <row r="458" spans="1:24" s="1" customFormat="1" hidden="1">
      <c r="A458" s="48">
        <v>1</v>
      </c>
      <c r="B458" s="390" t="s">
        <v>582</v>
      </c>
      <c r="C458" s="390"/>
      <c r="D458" s="391" t="s">
        <v>573</v>
      </c>
      <c r="E458" s="207">
        <f t="shared" ref="E458:E521" si="54">F458+L458</f>
        <v>100000</v>
      </c>
      <c r="F458" s="207">
        <f t="shared" ref="F458:F470" si="55">SUM(G458:K458)</f>
        <v>100000</v>
      </c>
      <c r="G458" s="57"/>
      <c r="H458" s="57"/>
      <c r="I458" s="57"/>
      <c r="J458" s="392">
        <v>100000</v>
      </c>
      <c r="K458" s="57"/>
      <c r="L458" s="207">
        <f t="shared" ref="L458:L521" si="56">SUM(M458:X458)</f>
        <v>0</v>
      </c>
      <c r="M458" s="57"/>
      <c r="N458" s="57"/>
      <c r="O458" s="57"/>
      <c r="P458" s="57"/>
      <c r="Q458" s="57"/>
      <c r="R458" s="57"/>
      <c r="S458" s="57"/>
      <c r="T458" s="57"/>
      <c r="U458" s="57"/>
      <c r="V458" s="57"/>
      <c r="W458" s="57"/>
      <c r="X458" s="57"/>
    </row>
    <row r="459" spans="1:24" s="35" customFormat="1" ht="10.5" hidden="1">
      <c r="A459" s="95">
        <v>14</v>
      </c>
      <c r="B459" s="533" t="s">
        <v>582</v>
      </c>
      <c r="C459" s="533"/>
      <c r="D459" s="129" t="s">
        <v>239</v>
      </c>
      <c r="E459" s="51">
        <f t="shared" si="54"/>
        <v>104920</v>
      </c>
      <c r="F459" s="51">
        <f t="shared" si="55"/>
        <v>104920</v>
      </c>
      <c r="G459" s="96">
        <f>SUM(G460:G462)</f>
        <v>0</v>
      </c>
      <c r="H459" s="96">
        <f t="shared" ref="H459:X459" si="57">SUM(H460:H462)</f>
        <v>0</v>
      </c>
      <c r="I459" s="96">
        <f t="shared" si="57"/>
        <v>0</v>
      </c>
      <c r="J459" s="96">
        <f t="shared" si="57"/>
        <v>104920</v>
      </c>
      <c r="K459" s="96">
        <f t="shared" si="57"/>
        <v>0</v>
      </c>
      <c r="L459" s="51">
        <f t="shared" si="56"/>
        <v>0</v>
      </c>
      <c r="M459" s="96">
        <f t="shared" si="57"/>
        <v>0</v>
      </c>
      <c r="N459" s="96">
        <f t="shared" si="57"/>
        <v>0</v>
      </c>
      <c r="O459" s="96">
        <f t="shared" si="57"/>
        <v>0</v>
      </c>
      <c r="P459" s="96">
        <f t="shared" si="57"/>
        <v>0</v>
      </c>
      <c r="Q459" s="96">
        <f t="shared" si="57"/>
        <v>0</v>
      </c>
      <c r="R459" s="96">
        <f t="shared" si="57"/>
        <v>0</v>
      </c>
      <c r="S459" s="96">
        <f t="shared" si="57"/>
        <v>0</v>
      </c>
      <c r="T459" s="96">
        <f t="shared" si="57"/>
        <v>0</v>
      </c>
      <c r="U459" s="96">
        <f t="shared" si="57"/>
        <v>0</v>
      </c>
      <c r="V459" s="96">
        <f t="shared" si="57"/>
        <v>0</v>
      </c>
      <c r="W459" s="96">
        <f t="shared" si="57"/>
        <v>0</v>
      </c>
      <c r="X459" s="96">
        <f t="shared" si="57"/>
        <v>0</v>
      </c>
    </row>
    <row r="460" spans="1:24" s="134" customFormat="1" hidden="1">
      <c r="A460" s="393">
        <v>1</v>
      </c>
      <c r="B460" s="390" t="s">
        <v>582</v>
      </c>
      <c r="C460" s="390"/>
      <c r="D460" s="391" t="s">
        <v>574</v>
      </c>
      <c r="E460" s="207">
        <f t="shared" si="54"/>
        <v>78180</v>
      </c>
      <c r="F460" s="207">
        <f t="shared" si="55"/>
        <v>78180</v>
      </c>
      <c r="G460" s="52"/>
      <c r="H460" s="52"/>
      <c r="I460" s="52"/>
      <c r="J460" s="53">
        <v>78180</v>
      </c>
      <c r="K460" s="52"/>
      <c r="L460" s="207">
        <f t="shared" si="56"/>
        <v>0</v>
      </c>
      <c r="M460" s="52"/>
      <c r="N460" s="52"/>
      <c r="O460" s="52"/>
      <c r="P460" s="52"/>
      <c r="Q460" s="52"/>
      <c r="R460" s="52"/>
      <c r="S460" s="52"/>
      <c r="T460" s="52"/>
      <c r="U460" s="52"/>
      <c r="V460" s="52"/>
      <c r="W460" s="52"/>
      <c r="X460" s="52"/>
    </row>
    <row r="461" spans="1:24" s="266" customFormat="1" ht="33.75" hidden="1">
      <c r="A461" s="393">
        <v>2</v>
      </c>
      <c r="B461" s="390" t="s">
        <v>582</v>
      </c>
      <c r="C461" s="390"/>
      <c r="D461" s="394" t="s">
        <v>575</v>
      </c>
      <c r="E461" s="207">
        <f t="shared" si="54"/>
        <v>16420</v>
      </c>
      <c r="F461" s="207">
        <f t="shared" si="55"/>
        <v>16420</v>
      </c>
      <c r="G461" s="315"/>
      <c r="H461" s="315"/>
      <c r="I461" s="315"/>
      <c r="J461" s="60">
        <v>16420</v>
      </c>
      <c r="K461" s="315"/>
      <c r="L461" s="207">
        <f t="shared" si="56"/>
        <v>0</v>
      </c>
      <c r="M461" s="315"/>
      <c r="N461" s="315"/>
      <c r="O461" s="315"/>
      <c r="P461" s="315"/>
      <c r="Q461" s="315"/>
      <c r="R461" s="315"/>
      <c r="S461" s="315"/>
      <c r="T461" s="315"/>
      <c r="U461" s="315"/>
      <c r="V461" s="315"/>
      <c r="W461" s="315"/>
      <c r="X461" s="315"/>
    </row>
    <row r="462" spans="1:24" s="266" customFormat="1" hidden="1">
      <c r="A462" s="393">
        <v>3</v>
      </c>
      <c r="B462" s="390" t="s">
        <v>582</v>
      </c>
      <c r="C462" s="390"/>
      <c r="D462" s="391" t="s">
        <v>227</v>
      </c>
      <c r="E462" s="207">
        <f t="shared" si="54"/>
        <v>10320</v>
      </c>
      <c r="F462" s="207">
        <f t="shared" si="55"/>
        <v>10320</v>
      </c>
      <c r="G462" s="315"/>
      <c r="H462" s="315"/>
      <c r="I462" s="315"/>
      <c r="J462" s="60">
        <v>10320</v>
      </c>
      <c r="K462" s="315"/>
      <c r="L462" s="207">
        <f t="shared" si="56"/>
        <v>0</v>
      </c>
      <c r="M462" s="315"/>
      <c r="N462" s="315"/>
      <c r="O462" s="315"/>
      <c r="P462" s="315"/>
      <c r="Q462" s="315"/>
      <c r="R462" s="315"/>
      <c r="S462" s="315"/>
      <c r="T462" s="315"/>
      <c r="U462" s="315"/>
      <c r="V462" s="315"/>
      <c r="W462" s="315"/>
      <c r="X462" s="315"/>
    </row>
    <row r="463" spans="1:24" s="398" customFormat="1" ht="31.5" hidden="1">
      <c r="A463" s="395">
        <v>15</v>
      </c>
      <c r="B463" s="396" t="s">
        <v>34</v>
      </c>
      <c r="C463" s="396"/>
      <c r="D463" s="397" t="s">
        <v>32</v>
      </c>
      <c r="E463" s="51">
        <f t="shared" si="54"/>
        <v>588579</v>
      </c>
      <c r="F463" s="51">
        <f t="shared" si="55"/>
        <v>227000</v>
      </c>
      <c r="G463" s="96">
        <f>SUM(G464:G475)</f>
        <v>227000</v>
      </c>
      <c r="H463" s="96">
        <f t="shared" ref="H463:X463" si="58">SUM(H464:H475)</f>
        <v>0</v>
      </c>
      <c r="I463" s="96">
        <f t="shared" si="58"/>
        <v>0</v>
      </c>
      <c r="J463" s="96">
        <f t="shared" si="58"/>
        <v>0</v>
      </c>
      <c r="K463" s="96">
        <f t="shared" si="58"/>
        <v>0</v>
      </c>
      <c r="L463" s="51">
        <f t="shared" si="56"/>
        <v>361579</v>
      </c>
      <c r="M463" s="96">
        <f t="shared" si="58"/>
        <v>16160</v>
      </c>
      <c r="N463" s="96">
        <f t="shared" si="58"/>
        <v>20500</v>
      </c>
      <c r="O463" s="96">
        <f t="shared" si="58"/>
        <v>27080</v>
      </c>
      <c r="P463" s="96">
        <f t="shared" si="58"/>
        <v>44196</v>
      </c>
      <c r="Q463" s="96">
        <f t="shared" si="58"/>
        <v>48736</v>
      </c>
      <c r="R463" s="96">
        <f t="shared" si="58"/>
        <v>21110</v>
      </c>
      <c r="S463" s="96">
        <f t="shared" si="58"/>
        <v>25060</v>
      </c>
      <c r="T463" s="96">
        <f t="shared" si="58"/>
        <v>8080</v>
      </c>
      <c r="U463" s="96">
        <f t="shared" si="58"/>
        <v>17950</v>
      </c>
      <c r="V463" s="96">
        <f t="shared" si="58"/>
        <v>48000</v>
      </c>
      <c r="W463" s="96">
        <f t="shared" si="58"/>
        <v>64797</v>
      </c>
      <c r="X463" s="96">
        <f t="shared" si="58"/>
        <v>19910</v>
      </c>
    </row>
    <row r="464" spans="1:24" s="400" customFormat="1" ht="22.5" hidden="1">
      <c r="A464" s="122">
        <v>1</v>
      </c>
      <c r="B464" s="354" t="s">
        <v>34</v>
      </c>
      <c r="C464" s="354"/>
      <c r="D464" s="399" t="s">
        <v>335</v>
      </c>
      <c r="E464" s="188">
        <f t="shared" si="54"/>
        <v>50000</v>
      </c>
      <c r="F464" s="188">
        <f t="shared" si="55"/>
        <v>50000</v>
      </c>
      <c r="G464" s="135">
        <v>50000</v>
      </c>
      <c r="H464" s="110"/>
      <c r="I464" s="110"/>
      <c r="J464" s="110"/>
      <c r="K464" s="110"/>
      <c r="L464" s="188">
        <f t="shared" si="56"/>
        <v>0</v>
      </c>
      <c r="M464" s="110"/>
      <c r="N464" s="110"/>
      <c r="O464" s="110"/>
      <c r="P464" s="110"/>
      <c r="Q464" s="110"/>
      <c r="R464" s="110"/>
      <c r="S464" s="110"/>
      <c r="T464" s="110"/>
      <c r="U464" s="110"/>
      <c r="V464" s="110"/>
      <c r="W464" s="110"/>
      <c r="X464" s="110"/>
    </row>
    <row r="465" spans="1:24" s="400" customFormat="1" ht="22.5" hidden="1">
      <c r="A465" s="122">
        <v>2</v>
      </c>
      <c r="B465" s="354" t="s">
        <v>34</v>
      </c>
      <c r="C465" s="354"/>
      <c r="D465" s="399" t="s">
        <v>336</v>
      </c>
      <c r="E465" s="188">
        <f t="shared" si="54"/>
        <v>10000</v>
      </c>
      <c r="F465" s="188">
        <f t="shared" si="55"/>
        <v>10000</v>
      </c>
      <c r="G465" s="135">
        <v>10000</v>
      </c>
      <c r="H465" s="110"/>
      <c r="I465" s="110"/>
      <c r="J465" s="110"/>
      <c r="K465" s="110"/>
      <c r="L465" s="188">
        <f t="shared" si="56"/>
        <v>0</v>
      </c>
      <c r="M465" s="110"/>
      <c r="N465" s="110"/>
      <c r="O465" s="110"/>
      <c r="P465" s="110"/>
      <c r="Q465" s="110"/>
      <c r="R465" s="110"/>
      <c r="S465" s="110"/>
      <c r="T465" s="110"/>
      <c r="U465" s="110"/>
      <c r="V465" s="110"/>
      <c r="W465" s="110"/>
      <c r="X465" s="110"/>
    </row>
    <row r="466" spans="1:24" s="400" customFormat="1" hidden="1">
      <c r="A466" s="122">
        <v>3</v>
      </c>
      <c r="B466" s="354" t="s">
        <v>34</v>
      </c>
      <c r="C466" s="354"/>
      <c r="D466" s="399" t="s">
        <v>337</v>
      </c>
      <c r="E466" s="188">
        <f t="shared" si="54"/>
        <v>167000</v>
      </c>
      <c r="F466" s="188">
        <f t="shared" si="55"/>
        <v>167000</v>
      </c>
      <c r="G466" s="135">
        <v>167000</v>
      </c>
      <c r="H466" s="110"/>
      <c r="I466" s="110"/>
      <c r="J466" s="110"/>
      <c r="K466" s="110"/>
      <c r="L466" s="188">
        <f t="shared" si="56"/>
        <v>0</v>
      </c>
      <c r="M466" s="110"/>
      <c r="N466" s="110"/>
      <c r="O466" s="110"/>
      <c r="P466" s="110"/>
      <c r="Q466" s="110"/>
      <c r="R466" s="110"/>
      <c r="S466" s="110"/>
      <c r="T466" s="110"/>
      <c r="U466" s="110"/>
      <c r="V466" s="110"/>
      <c r="W466" s="110"/>
      <c r="X466" s="110"/>
    </row>
    <row r="467" spans="1:24" s="400" customFormat="1" hidden="1">
      <c r="A467" s="122">
        <v>4</v>
      </c>
      <c r="B467" s="354" t="s">
        <v>34</v>
      </c>
      <c r="C467" s="354"/>
      <c r="D467" s="104" t="s">
        <v>291</v>
      </c>
      <c r="E467" s="188">
        <f t="shared" si="54"/>
        <v>0</v>
      </c>
      <c r="F467" s="188">
        <f t="shared" si="55"/>
        <v>0</v>
      </c>
      <c r="G467" s="110"/>
      <c r="H467" s="110"/>
      <c r="I467" s="110"/>
      <c r="J467" s="110"/>
      <c r="K467" s="110"/>
      <c r="L467" s="188">
        <f t="shared" si="56"/>
        <v>0</v>
      </c>
      <c r="M467" s="110"/>
      <c r="N467" s="110"/>
      <c r="O467" s="110"/>
      <c r="P467" s="110"/>
      <c r="Q467" s="110"/>
      <c r="R467" s="110"/>
      <c r="S467" s="110"/>
      <c r="T467" s="110"/>
      <c r="U467" s="110"/>
      <c r="V467" s="110"/>
      <c r="W467" s="110"/>
      <c r="X467" s="110"/>
    </row>
    <row r="468" spans="1:24" s="400" customFormat="1" ht="45" hidden="1">
      <c r="A468" s="122">
        <v>5</v>
      </c>
      <c r="B468" s="354" t="s">
        <v>34</v>
      </c>
      <c r="C468" s="354"/>
      <c r="D468" s="401" t="s">
        <v>190</v>
      </c>
      <c r="E468" s="188">
        <f t="shared" si="54"/>
        <v>116850</v>
      </c>
      <c r="F468" s="188">
        <f t="shared" si="55"/>
        <v>0</v>
      </c>
      <c r="G468" s="110"/>
      <c r="H468" s="110"/>
      <c r="I468" s="110"/>
      <c r="J468" s="110"/>
      <c r="K468" s="110"/>
      <c r="L468" s="188">
        <f t="shared" si="56"/>
        <v>116850</v>
      </c>
      <c r="M468" s="402">
        <v>11120</v>
      </c>
      <c r="N468" s="126">
        <v>12000</v>
      </c>
      <c r="O468" s="126">
        <v>25160</v>
      </c>
      <c r="P468" s="126">
        <v>6000</v>
      </c>
      <c r="Q468" s="402">
        <v>0</v>
      </c>
      <c r="R468" s="126">
        <v>1840</v>
      </c>
      <c r="S468" s="126">
        <v>20520</v>
      </c>
      <c r="T468" s="126">
        <v>1220</v>
      </c>
      <c r="U468" s="313">
        <v>4390</v>
      </c>
      <c r="V468" s="126">
        <f>14000+3000</f>
        <v>17000</v>
      </c>
      <c r="W468" s="126">
        <f>3520+2920</f>
        <v>6440</v>
      </c>
      <c r="X468" s="126">
        <v>11160</v>
      </c>
    </row>
    <row r="469" spans="1:24" s="400" customFormat="1" ht="33.75" hidden="1">
      <c r="A469" s="122">
        <v>6</v>
      </c>
      <c r="B469" s="354" t="s">
        <v>34</v>
      </c>
      <c r="C469" s="354"/>
      <c r="D469" s="586" t="s">
        <v>353</v>
      </c>
      <c r="E469" s="188">
        <f t="shared" si="54"/>
        <v>49648</v>
      </c>
      <c r="F469" s="188">
        <f t="shared" si="55"/>
        <v>0</v>
      </c>
      <c r="G469" s="110"/>
      <c r="H469" s="110"/>
      <c r="I469" s="110"/>
      <c r="J469" s="110"/>
      <c r="K469" s="110"/>
      <c r="L469" s="188">
        <f t="shared" si="56"/>
        <v>49648</v>
      </c>
      <c r="M469" s="402">
        <v>3080</v>
      </c>
      <c r="N469" s="126">
        <v>3500</v>
      </c>
      <c r="O469" s="126">
        <v>1920</v>
      </c>
      <c r="P469" s="126">
        <v>2400</v>
      </c>
      <c r="Q469" s="402">
        <v>0</v>
      </c>
      <c r="R469" s="126">
        <v>8290</v>
      </c>
      <c r="S469" s="126">
        <v>3040</v>
      </c>
      <c r="T469" s="126"/>
      <c r="U469" s="313">
        <v>13200</v>
      </c>
      <c r="V469" s="126">
        <v>1000</v>
      </c>
      <c r="W469" s="126">
        <f>4518+1360+1440</f>
        <v>7318</v>
      </c>
      <c r="X469" s="126">
        <v>5900</v>
      </c>
    </row>
    <row r="470" spans="1:24" s="400" customFormat="1" ht="45" hidden="1">
      <c r="A470" s="122">
        <v>7</v>
      </c>
      <c r="B470" s="354" t="s">
        <v>34</v>
      </c>
      <c r="C470" s="354"/>
      <c r="D470" s="586" t="s">
        <v>323</v>
      </c>
      <c r="E470" s="188">
        <f t="shared" si="54"/>
        <v>86510</v>
      </c>
      <c r="F470" s="188">
        <f t="shared" si="55"/>
        <v>0</v>
      </c>
      <c r="G470" s="110"/>
      <c r="H470" s="110"/>
      <c r="I470" s="110"/>
      <c r="J470" s="110"/>
      <c r="K470" s="110"/>
      <c r="L470" s="188">
        <f t="shared" si="56"/>
        <v>86510</v>
      </c>
      <c r="M470" s="402">
        <v>1960</v>
      </c>
      <c r="N470" s="126"/>
      <c r="O470" s="126"/>
      <c r="P470" s="126">
        <v>9360</v>
      </c>
      <c r="Q470" s="402">
        <v>0</v>
      </c>
      <c r="R470" s="126">
        <v>1180</v>
      </c>
      <c r="S470" s="126">
        <v>1500</v>
      </c>
      <c r="T470" s="126">
        <v>6860</v>
      </c>
      <c r="U470" s="313">
        <v>0</v>
      </c>
      <c r="V470" s="126">
        <v>21000</v>
      </c>
      <c r="W470" s="126">
        <v>41800</v>
      </c>
      <c r="X470" s="126">
        <v>2850</v>
      </c>
    </row>
    <row r="471" spans="1:24" s="400" customFormat="1" ht="45" hidden="1">
      <c r="A471" s="122">
        <v>8</v>
      </c>
      <c r="B471" s="354" t="s">
        <v>34</v>
      </c>
      <c r="C471" s="354"/>
      <c r="D471" s="586" t="s">
        <v>354</v>
      </c>
      <c r="E471" s="188">
        <f t="shared" si="54"/>
        <v>79835</v>
      </c>
      <c r="F471" s="188">
        <f>SUM(G471:K471)</f>
        <v>0</v>
      </c>
      <c r="G471" s="110"/>
      <c r="H471" s="110"/>
      <c r="I471" s="110"/>
      <c r="J471" s="110"/>
      <c r="K471" s="110"/>
      <c r="L471" s="188">
        <f t="shared" si="56"/>
        <v>79835</v>
      </c>
      <c r="M471" s="402"/>
      <c r="N471" s="126">
        <v>5000</v>
      </c>
      <c r="O471" s="126"/>
      <c r="P471" s="126">
        <v>13436</v>
      </c>
      <c r="Q471" s="402">
        <v>42000</v>
      </c>
      <c r="R471" s="126">
        <v>9800</v>
      </c>
      <c r="S471" s="126"/>
      <c r="T471" s="126"/>
      <c r="U471" s="313">
        <v>360</v>
      </c>
      <c r="V471" s="126"/>
      <c r="W471" s="126">
        <f>4500+30+2250+9+2450</f>
        <v>9239</v>
      </c>
      <c r="X471" s="403"/>
    </row>
    <row r="472" spans="1:24" s="400" customFormat="1" ht="22.5" hidden="1">
      <c r="A472" s="122">
        <v>9</v>
      </c>
      <c r="B472" s="354" t="s">
        <v>34</v>
      </c>
      <c r="C472" s="354"/>
      <c r="D472" s="401" t="s">
        <v>355</v>
      </c>
      <c r="E472" s="188">
        <f t="shared" si="54"/>
        <v>0</v>
      </c>
      <c r="F472" s="188">
        <f t="shared" ref="F472:F535" si="59">SUM(G472:K472)</f>
        <v>0</v>
      </c>
      <c r="G472" s="110"/>
      <c r="H472" s="110"/>
      <c r="I472" s="110"/>
      <c r="J472" s="110"/>
      <c r="K472" s="110"/>
      <c r="L472" s="188">
        <f t="shared" si="56"/>
        <v>0</v>
      </c>
      <c r="M472" s="402"/>
      <c r="N472" s="126"/>
      <c r="O472" s="126"/>
      <c r="P472" s="126"/>
      <c r="Q472" s="402">
        <v>0</v>
      </c>
      <c r="R472" s="126"/>
      <c r="S472" s="126"/>
      <c r="T472" s="126"/>
      <c r="U472" s="313">
        <v>0</v>
      </c>
      <c r="V472" s="126"/>
      <c r="W472" s="126"/>
      <c r="X472" s="403"/>
    </row>
    <row r="473" spans="1:24" s="400" customFormat="1" ht="45" hidden="1">
      <c r="A473" s="122">
        <v>10</v>
      </c>
      <c r="B473" s="354" t="s">
        <v>34</v>
      </c>
      <c r="C473" s="354"/>
      <c r="D473" s="404" t="s">
        <v>356</v>
      </c>
      <c r="E473" s="188">
        <f t="shared" si="54"/>
        <v>2560</v>
      </c>
      <c r="F473" s="188">
        <f t="shared" si="59"/>
        <v>0</v>
      </c>
      <c r="G473" s="110"/>
      <c r="H473" s="110"/>
      <c r="I473" s="110"/>
      <c r="J473" s="110"/>
      <c r="K473" s="110"/>
      <c r="L473" s="188">
        <f t="shared" si="56"/>
        <v>2560</v>
      </c>
      <c r="M473" s="402"/>
      <c r="N473" s="126"/>
      <c r="O473" s="126"/>
      <c r="P473" s="126"/>
      <c r="Q473" s="402">
        <v>2560</v>
      </c>
      <c r="R473" s="126"/>
      <c r="S473" s="126"/>
      <c r="T473" s="126"/>
      <c r="U473" s="403"/>
      <c r="V473" s="126"/>
      <c r="W473" s="126"/>
      <c r="X473" s="403"/>
    </row>
    <row r="474" spans="1:24" s="400" customFormat="1" ht="90" hidden="1">
      <c r="A474" s="122">
        <v>11</v>
      </c>
      <c r="B474" s="354" t="s">
        <v>34</v>
      </c>
      <c r="C474" s="354"/>
      <c r="D474" s="587" t="s">
        <v>357</v>
      </c>
      <c r="E474" s="188">
        <f t="shared" si="54"/>
        <v>4176</v>
      </c>
      <c r="F474" s="188">
        <f t="shared" si="59"/>
        <v>0</v>
      </c>
      <c r="G474" s="110"/>
      <c r="H474" s="110"/>
      <c r="I474" s="110"/>
      <c r="J474" s="110"/>
      <c r="K474" s="110"/>
      <c r="L474" s="188">
        <f t="shared" si="56"/>
        <v>4176</v>
      </c>
      <c r="M474" s="402"/>
      <c r="N474" s="126"/>
      <c r="O474" s="126"/>
      <c r="P474" s="126"/>
      <c r="Q474" s="402">
        <v>4176</v>
      </c>
      <c r="R474" s="126"/>
      <c r="S474" s="126"/>
      <c r="T474" s="126"/>
      <c r="U474" s="403"/>
      <c r="V474" s="126"/>
      <c r="W474" s="126"/>
      <c r="X474" s="403"/>
    </row>
    <row r="475" spans="1:24" s="400" customFormat="1" hidden="1">
      <c r="A475" s="122">
        <v>12</v>
      </c>
      <c r="B475" s="354" t="s">
        <v>34</v>
      </c>
      <c r="C475" s="354"/>
      <c r="D475" s="401" t="s">
        <v>205</v>
      </c>
      <c r="E475" s="188">
        <f t="shared" si="54"/>
        <v>22000</v>
      </c>
      <c r="F475" s="188">
        <f t="shared" si="59"/>
        <v>0</v>
      </c>
      <c r="G475" s="110"/>
      <c r="H475" s="110"/>
      <c r="I475" s="110"/>
      <c r="J475" s="110"/>
      <c r="K475" s="110"/>
      <c r="L475" s="188">
        <f t="shared" si="56"/>
        <v>22000</v>
      </c>
      <c r="M475" s="246"/>
      <c r="N475" s="403"/>
      <c r="O475" s="403"/>
      <c r="P475" s="126">
        <v>13000</v>
      </c>
      <c r="Q475" s="402">
        <v>0</v>
      </c>
      <c r="R475" s="403"/>
      <c r="S475" s="403"/>
      <c r="T475" s="403"/>
      <c r="U475" s="403"/>
      <c r="V475" s="126">
        <v>9000</v>
      </c>
      <c r="W475" s="403"/>
      <c r="X475" s="403"/>
    </row>
    <row r="476" spans="1:24" s="275" customFormat="1" hidden="1">
      <c r="A476" s="317">
        <v>16</v>
      </c>
      <c r="B476" s="396" t="s">
        <v>34</v>
      </c>
      <c r="C476" s="396"/>
      <c r="D476" s="405" t="s">
        <v>257</v>
      </c>
      <c r="E476" s="51">
        <f t="shared" si="54"/>
        <v>430000</v>
      </c>
      <c r="F476" s="51">
        <f t="shared" si="59"/>
        <v>430000</v>
      </c>
      <c r="G476" s="96">
        <f t="shared" ref="G476:X476" si="60">SUM(G477:G482)</f>
        <v>430000</v>
      </c>
      <c r="H476" s="96">
        <f t="shared" si="60"/>
        <v>0</v>
      </c>
      <c r="I476" s="96">
        <f t="shared" si="60"/>
        <v>0</v>
      </c>
      <c r="J476" s="96">
        <f t="shared" si="60"/>
        <v>0</v>
      </c>
      <c r="K476" s="96">
        <f t="shared" si="60"/>
        <v>0</v>
      </c>
      <c r="L476" s="51">
        <f t="shared" si="56"/>
        <v>0</v>
      </c>
      <c r="M476" s="96">
        <f t="shared" si="60"/>
        <v>0</v>
      </c>
      <c r="N476" s="96">
        <f t="shared" si="60"/>
        <v>0</v>
      </c>
      <c r="O476" s="96">
        <f t="shared" si="60"/>
        <v>0</v>
      </c>
      <c r="P476" s="96">
        <f t="shared" si="60"/>
        <v>0</v>
      </c>
      <c r="Q476" s="96">
        <f t="shared" si="60"/>
        <v>0</v>
      </c>
      <c r="R476" s="96">
        <f t="shared" si="60"/>
        <v>0</v>
      </c>
      <c r="S476" s="96">
        <f t="shared" si="60"/>
        <v>0</v>
      </c>
      <c r="T476" s="96">
        <f t="shared" si="60"/>
        <v>0</v>
      </c>
      <c r="U476" s="96">
        <f t="shared" si="60"/>
        <v>0</v>
      </c>
      <c r="V476" s="96">
        <f t="shared" si="60"/>
        <v>0</v>
      </c>
      <c r="W476" s="96">
        <f t="shared" si="60"/>
        <v>0</v>
      </c>
      <c r="X476" s="96">
        <f t="shared" si="60"/>
        <v>0</v>
      </c>
    </row>
    <row r="477" spans="1:24" s="266" customFormat="1" ht="22.5" hidden="1">
      <c r="A477" s="122">
        <v>1</v>
      </c>
      <c r="B477" s="354" t="s">
        <v>34</v>
      </c>
      <c r="C477" s="354"/>
      <c r="D477" s="399" t="s">
        <v>191</v>
      </c>
      <c r="E477" s="188">
        <f t="shared" si="54"/>
        <v>50000</v>
      </c>
      <c r="F477" s="188">
        <f t="shared" si="59"/>
        <v>50000</v>
      </c>
      <c r="G477" s="110">
        <v>50000</v>
      </c>
      <c r="H477" s="110"/>
      <c r="I477" s="110"/>
      <c r="J477" s="110"/>
      <c r="K477" s="110"/>
      <c r="L477" s="188">
        <f t="shared" si="56"/>
        <v>0</v>
      </c>
      <c r="M477" s="110"/>
      <c r="N477" s="110"/>
      <c r="O477" s="110"/>
      <c r="P477" s="110"/>
      <c r="Q477" s="110"/>
      <c r="R477" s="110"/>
      <c r="S477" s="110"/>
      <c r="T477" s="110"/>
      <c r="U477" s="110"/>
      <c r="V477" s="110"/>
      <c r="W477" s="110"/>
      <c r="X477" s="110"/>
    </row>
    <row r="478" spans="1:24" s="266" customFormat="1" ht="33.75" hidden="1">
      <c r="A478" s="122">
        <v>2</v>
      </c>
      <c r="B478" s="354" t="s">
        <v>34</v>
      </c>
      <c r="C478" s="354"/>
      <c r="D478" s="399" t="s">
        <v>286</v>
      </c>
      <c r="E478" s="188">
        <f t="shared" si="54"/>
        <v>320000</v>
      </c>
      <c r="F478" s="188">
        <f t="shared" si="59"/>
        <v>320000</v>
      </c>
      <c r="G478" s="110">
        <v>320000</v>
      </c>
      <c r="H478" s="110"/>
      <c r="I478" s="110"/>
      <c r="J478" s="110"/>
      <c r="K478" s="110"/>
      <c r="L478" s="188">
        <f t="shared" si="56"/>
        <v>0</v>
      </c>
      <c r="M478" s="110"/>
      <c r="N478" s="110"/>
      <c r="O478" s="110"/>
      <c r="P478" s="110"/>
      <c r="Q478" s="110"/>
      <c r="R478" s="110"/>
      <c r="S478" s="110"/>
      <c r="T478" s="110"/>
      <c r="U478" s="110"/>
      <c r="V478" s="110"/>
      <c r="W478" s="110"/>
      <c r="X478" s="110"/>
    </row>
    <row r="479" spans="1:24" s="266" customFormat="1" ht="22.5" hidden="1">
      <c r="A479" s="122">
        <v>3</v>
      </c>
      <c r="B479" s="354" t="s">
        <v>34</v>
      </c>
      <c r="C479" s="354"/>
      <c r="D479" s="399" t="s">
        <v>192</v>
      </c>
      <c r="E479" s="188">
        <f t="shared" si="54"/>
        <v>15000</v>
      </c>
      <c r="F479" s="188">
        <f t="shared" si="59"/>
        <v>15000</v>
      </c>
      <c r="G479" s="110">
        <v>15000</v>
      </c>
      <c r="H479" s="110"/>
      <c r="I479" s="110"/>
      <c r="J479" s="110"/>
      <c r="K479" s="110"/>
      <c r="L479" s="188">
        <f t="shared" si="56"/>
        <v>0</v>
      </c>
      <c r="M479" s="110"/>
      <c r="N479" s="110"/>
      <c r="O479" s="110"/>
      <c r="P479" s="110"/>
      <c r="Q479" s="110"/>
      <c r="R479" s="110"/>
      <c r="S479" s="110"/>
      <c r="T479" s="110"/>
      <c r="U479" s="110"/>
      <c r="V479" s="110"/>
      <c r="W479" s="110"/>
      <c r="X479" s="110"/>
    </row>
    <row r="480" spans="1:24" s="266" customFormat="1" hidden="1">
      <c r="A480" s="122">
        <v>4</v>
      </c>
      <c r="B480" s="354" t="s">
        <v>34</v>
      </c>
      <c r="C480" s="354"/>
      <c r="D480" s="104" t="s">
        <v>290</v>
      </c>
      <c r="E480" s="188">
        <f t="shared" si="54"/>
        <v>30000</v>
      </c>
      <c r="F480" s="188">
        <f t="shared" si="59"/>
        <v>30000</v>
      </c>
      <c r="G480" s="110">
        <v>30000</v>
      </c>
      <c r="H480" s="110"/>
      <c r="I480" s="110"/>
      <c r="J480" s="110"/>
      <c r="K480" s="110"/>
      <c r="L480" s="188">
        <f t="shared" si="56"/>
        <v>0</v>
      </c>
      <c r="M480" s="110"/>
      <c r="N480" s="110"/>
      <c r="O480" s="110"/>
      <c r="P480" s="110"/>
      <c r="Q480" s="110"/>
      <c r="R480" s="110"/>
      <c r="S480" s="110"/>
      <c r="T480" s="110"/>
      <c r="U480" s="110"/>
      <c r="V480" s="110"/>
      <c r="W480" s="110"/>
      <c r="X480" s="110"/>
    </row>
    <row r="481" spans="1:24" s="266" customFormat="1" hidden="1">
      <c r="A481" s="122">
        <v>5</v>
      </c>
      <c r="B481" s="354" t="s">
        <v>34</v>
      </c>
      <c r="C481" s="354"/>
      <c r="D481" s="104" t="s">
        <v>292</v>
      </c>
      <c r="E481" s="188">
        <f t="shared" si="54"/>
        <v>0</v>
      </c>
      <c r="F481" s="188">
        <f t="shared" si="59"/>
        <v>0</v>
      </c>
      <c r="G481" s="110"/>
      <c r="H481" s="110"/>
      <c r="I481" s="110"/>
      <c r="J481" s="110"/>
      <c r="K481" s="110"/>
      <c r="L481" s="188">
        <f t="shared" si="56"/>
        <v>0</v>
      </c>
      <c r="M481" s="110"/>
      <c r="N481" s="110"/>
      <c r="O481" s="110"/>
      <c r="P481" s="110"/>
      <c r="Q481" s="110"/>
      <c r="R481" s="110"/>
      <c r="S481" s="110"/>
      <c r="T481" s="110"/>
      <c r="U481" s="110"/>
      <c r="V481" s="110"/>
      <c r="W481" s="110"/>
      <c r="X481" s="110"/>
    </row>
    <row r="482" spans="1:24" s="266" customFormat="1" hidden="1">
      <c r="A482" s="122">
        <v>6</v>
      </c>
      <c r="B482" s="354" t="s">
        <v>34</v>
      </c>
      <c r="C482" s="354"/>
      <c r="D482" s="104" t="s">
        <v>291</v>
      </c>
      <c r="E482" s="188">
        <f t="shared" si="54"/>
        <v>15000</v>
      </c>
      <c r="F482" s="188">
        <f t="shared" si="59"/>
        <v>15000</v>
      </c>
      <c r="G482" s="110">
        <v>15000</v>
      </c>
      <c r="H482" s="110"/>
      <c r="I482" s="110"/>
      <c r="J482" s="110"/>
      <c r="K482" s="110"/>
      <c r="L482" s="188">
        <f t="shared" si="56"/>
        <v>0</v>
      </c>
      <c r="M482" s="110"/>
      <c r="N482" s="110"/>
      <c r="O482" s="110"/>
      <c r="P482" s="110"/>
      <c r="Q482" s="110"/>
      <c r="R482" s="110"/>
      <c r="S482" s="110"/>
      <c r="T482" s="110"/>
      <c r="U482" s="110"/>
      <c r="V482" s="110"/>
      <c r="W482" s="110"/>
      <c r="X482" s="110"/>
    </row>
    <row r="483" spans="1:24" s="398" customFormat="1" ht="21" hidden="1">
      <c r="A483" s="317">
        <v>17</v>
      </c>
      <c r="B483" s="396" t="s">
        <v>34</v>
      </c>
      <c r="C483" s="396"/>
      <c r="D483" s="405" t="s">
        <v>193</v>
      </c>
      <c r="E483" s="51">
        <f t="shared" si="54"/>
        <v>552432</v>
      </c>
      <c r="F483" s="51">
        <f t="shared" si="59"/>
        <v>280000</v>
      </c>
      <c r="G483" s="96">
        <f>SUM(G484:G493)</f>
        <v>280000</v>
      </c>
      <c r="H483" s="96">
        <f t="shared" ref="H483:X483" si="61">SUM(H484:H493)</f>
        <v>0</v>
      </c>
      <c r="I483" s="96">
        <f t="shared" si="61"/>
        <v>0</v>
      </c>
      <c r="J483" s="96">
        <f t="shared" si="61"/>
        <v>0</v>
      </c>
      <c r="K483" s="96">
        <f t="shared" si="61"/>
        <v>0</v>
      </c>
      <c r="L483" s="51">
        <f t="shared" si="56"/>
        <v>272432</v>
      </c>
      <c r="M483" s="96">
        <f t="shared" si="61"/>
        <v>18030</v>
      </c>
      <c r="N483" s="96">
        <f t="shared" si="61"/>
        <v>17000</v>
      </c>
      <c r="O483" s="96">
        <f t="shared" si="61"/>
        <v>19844</v>
      </c>
      <c r="P483" s="96">
        <f t="shared" si="61"/>
        <v>47240</v>
      </c>
      <c r="Q483" s="96">
        <f t="shared" si="61"/>
        <v>24813</v>
      </c>
      <c r="R483" s="96">
        <f t="shared" si="61"/>
        <v>17860</v>
      </c>
      <c r="S483" s="96">
        <f t="shared" si="61"/>
        <v>30560</v>
      </c>
      <c r="T483" s="96">
        <f t="shared" si="61"/>
        <v>44860</v>
      </c>
      <c r="U483" s="96">
        <f t="shared" si="61"/>
        <v>13175</v>
      </c>
      <c r="V483" s="96">
        <f t="shared" si="61"/>
        <v>20550</v>
      </c>
      <c r="W483" s="96">
        <f t="shared" si="61"/>
        <v>9710</v>
      </c>
      <c r="X483" s="96">
        <f t="shared" si="61"/>
        <v>8790</v>
      </c>
    </row>
    <row r="484" spans="1:24" s="400" customFormat="1" ht="45" hidden="1">
      <c r="A484" s="122">
        <v>1</v>
      </c>
      <c r="B484" s="354" t="s">
        <v>34</v>
      </c>
      <c r="C484" s="354"/>
      <c r="D484" s="399" t="s">
        <v>341</v>
      </c>
      <c r="E484" s="188">
        <f t="shared" si="54"/>
        <v>186669</v>
      </c>
      <c r="F484" s="188">
        <f t="shared" si="59"/>
        <v>100000</v>
      </c>
      <c r="G484" s="110">
        <v>100000</v>
      </c>
      <c r="H484" s="110"/>
      <c r="I484" s="110"/>
      <c r="J484" s="110"/>
      <c r="K484" s="110"/>
      <c r="L484" s="188">
        <f t="shared" si="56"/>
        <v>86669</v>
      </c>
      <c r="M484" s="402">
        <v>10160</v>
      </c>
      <c r="N484" s="126">
        <v>5000</v>
      </c>
      <c r="O484" s="126">
        <v>10394</v>
      </c>
      <c r="P484" s="126">
        <f>2400+24000</f>
        <v>26400</v>
      </c>
      <c r="Q484" s="402">
        <v>0</v>
      </c>
      <c r="R484" s="126">
        <v>14840</v>
      </c>
      <c r="S484" s="126"/>
      <c r="T484" s="126"/>
      <c r="U484" s="313">
        <v>8115</v>
      </c>
      <c r="V484" s="126">
        <v>5040</v>
      </c>
      <c r="W484" s="126">
        <f>1040+1120+1440</f>
        <v>3600</v>
      </c>
      <c r="X484" s="406">
        <v>3120</v>
      </c>
    </row>
    <row r="485" spans="1:24" s="400" customFormat="1" ht="33.75" hidden="1">
      <c r="A485" s="122">
        <v>2</v>
      </c>
      <c r="B485" s="354" t="s">
        <v>34</v>
      </c>
      <c r="C485" s="354"/>
      <c r="D485" s="399" t="s">
        <v>342</v>
      </c>
      <c r="E485" s="188">
        <f t="shared" si="54"/>
        <v>126941</v>
      </c>
      <c r="F485" s="188">
        <f t="shared" si="59"/>
        <v>60000</v>
      </c>
      <c r="G485" s="110">
        <v>60000</v>
      </c>
      <c r="H485" s="110"/>
      <c r="I485" s="110"/>
      <c r="J485" s="110"/>
      <c r="K485" s="110"/>
      <c r="L485" s="188">
        <f t="shared" si="56"/>
        <v>66941</v>
      </c>
      <c r="M485" s="402">
        <v>7020</v>
      </c>
      <c r="N485" s="126">
        <v>12000</v>
      </c>
      <c r="O485" s="126"/>
      <c r="P485" s="126">
        <v>12000</v>
      </c>
      <c r="Q485" s="126">
        <v>2961</v>
      </c>
      <c r="R485" s="126"/>
      <c r="S485" s="126">
        <v>4850</v>
      </c>
      <c r="T485" s="126">
        <v>11680</v>
      </c>
      <c r="U485" s="313">
        <v>0</v>
      </c>
      <c r="V485" s="126">
        <v>7950</v>
      </c>
      <c r="W485" s="407">
        <f>2800+2860</f>
        <v>5660</v>
      </c>
      <c r="X485" s="117">
        <v>2820</v>
      </c>
    </row>
    <row r="486" spans="1:24" s="400" customFormat="1" ht="33.75" hidden="1">
      <c r="A486" s="122">
        <v>3</v>
      </c>
      <c r="B486" s="354" t="s">
        <v>34</v>
      </c>
      <c r="C486" s="354"/>
      <c r="D486" s="399" t="s">
        <v>343</v>
      </c>
      <c r="E486" s="188">
        <f t="shared" si="54"/>
        <v>6600</v>
      </c>
      <c r="F486" s="188">
        <f t="shared" si="59"/>
        <v>0</v>
      </c>
      <c r="G486" s="110"/>
      <c r="H486" s="110"/>
      <c r="I486" s="110"/>
      <c r="J486" s="110"/>
      <c r="K486" s="110"/>
      <c r="L486" s="188">
        <f t="shared" si="56"/>
        <v>6600</v>
      </c>
      <c r="M486" s="402"/>
      <c r="N486" s="126"/>
      <c r="O486" s="126"/>
      <c r="P486" s="126"/>
      <c r="Q486" s="408">
        <v>6600</v>
      </c>
      <c r="R486" s="126"/>
      <c r="S486" s="126"/>
      <c r="T486" s="126"/>
      <c r="U486" s="313"/>
      <c r="V486" s="126"/>
      <c r="W486" s="407"/>
      <c r="X486" s="117"/>
    </row>
    <row r="487" spans="1:24" s="400" customFormat="1" hidden="1">
      <c r="A487" s="122">
        <v>4</v>
      </c>
      <c r="B487" s="354" t="s">
        <v>34</v>
      </c>
      <c r="C487" s="354"/>
      <c r="D487" s="399" t="s">
        <v>344</v>
      </c>
      <c r="E487" s="188">
        <f t="shared" si="54"/>
        <v>84856</v>
      </c>
      <c r="F487" s="188">
        <f t="shared" si="59"/>
        <v>20000</v>
      </c>
      <c r="G487" s="110">
        <v>20000</v>
      </c>
      <c r="H487" s="110"/>
      <c r="I487" s="110"/>
      <c r="J487" s="110"/>
      <c r="K487" s="110"/>
      <c r="L487" s="188">
        <f t="shared" si="56"/>
        <v>64856</v>
      </c>
      <c r="M487" s="402"/>
      <c r="N487" s="126"/>
      <c r="O487" s="126">
        <v>9450</v>
      </c>
      <c r="P487" s="126">
        <v>8840</v>
      </c>
      <c r="Q487" s="126">
        <v>3076</v>
      </c>
      <c r="R487" s="126">
        <v>3020</v>
      </c>
      <c r="S487" s="126">
        <v>1600</v>
      </c>
      <c r="T487" s="126">
        <v>23400</v>
      </c>
      <c r="U487" s="313">
        <v>5060</v>
      </c>
      <c r="V487" s="126">
        <v>7560</v>
      </c>
      <c r="W487" s="126"/>
      <c r="X487" s="409">
        <v>2850</v>
      </c>
    </row>
    <row r="488" spans="1:24" s="400" customFormat="1" ht="33.75" hidden="1">
      <c r="A488" s="122">
        <v>5</v>
      </c>
      <c r="B488" s="354" t="s">
        <v>34</v>
      </c>
      <c r="C488" s="354"/>
      <c r="D488" s="582" t="s">
        <v>345</v>
      </c>
      <c r="E488" s="188">
        <f t="shared" si="54"/>
        <v>111080</v>
      </c>
      <c r="F488" s="188">
        <f t="shared" si="59"/>
        <v>100000</v>
      </c>
      <c r="G488" s="110">
        <v>100000</v>
      </c>
      <c r="H488" s="110"/>
      <c r="I488" s="110"/>
      <c r="J488" s="110"/>
      <c r="K488" s="110"/>
      <c r="L488" s="188">
        <f t="shared" si="56"/>
        <v>11080</v>
      </c>
      <c r="M488" s="402">
        <v>850</v>
      </c>
      <c r="N488" s="126"/>
      <c r="O488" s="126"/>
      <c r="P488" s="126"/>
      <c r="Q488" s="126">
        <v>0</v>
      </c>
      <c r="R488" s="126"/>
      <c r="S488" s="126"/>
      <c r="T488" s="126">
        <v>9780</v>
      </c>
      <c r="U488" s="313">
        <v>0</v>
      </c>
      <c r="V488" s="126"/>
      <c r="W488" s="126">
        <f>450</f>
        <v>450</v>
      </c>
      <c r="X488" s="124"/>
    </row>
    <row r="489" spans="1:24" s="400" customFormat="1" hidden="1">
      <c r="A489" s="122">
        <v>6</v>
      </c>
      <c r="B489" s="354" t="s">
        <v>34</v>
      </c>
      <c r="C489" s="354"/>
      <c r="D489" s="401" t="s">
        <v>208</v>
      </c>
      <c r="E489" s="188">
        <f t="shared" si="54"/>
        <v>24110</v>
      </c>
      <c r="F489" s="188">
        <f t="shared" si="59"/>
        <v>0</v>
      </c>
      <c r="G489" s="110"/>
      <c r="H489" s="110"/>
      <c r="I489" s="110"/>
      <c r="J489" s="110"/>
      <c r="K489" s="110"/>
      <c r="L489" s="188">
        <f t="shared" si="56"/>
        <v>24110</v>
      </c>
      <c r="M489" s="402"/>
      <c r="N489" s="126"/>
      <c r="O489" s="126"/>
      <c r="P489" s="126"/>
      <c r="Q489" s="126"/>
      <c r="R489" s="126"/>
      <c r="S489" s="126">
        <v>24110</v>
      </c>
      <c r="T489" s="126"/>
      <c r="U489" s="313"/>
      <c r="V489" s="126"/>
      <c r="W489" s="126"/>
      <c r="X489" s="126">
        <v>0</v>
      </c>
    </row>
    <row r="490" spans="1:24" s="400" customFormat="1" hidden="1">
      <c r="A490" s="122">
        <v>7</v>
      </c>
      <c r="B490" s="354" t="s">
        <v>34</v>
      </c>
      <c r="C490" s="354"/>
      <c r="D490" s="410" t="s">
        <v>358</v>
      </c>
      <c r="E490" s="188">
        <f t="shared" si="54"/>
        <v>2560</v>
      </c>
      <c r="F490" s="188">
        <f t="shared" si="59"/>
        <v>0</v>
      </c>
      <c r="G490" s="110"/>
      <c r="H490" s="110"/>
      <c r="I490" s="110"/>
      <c r="J490" s="110"/>
      <c r="K490" s="110"/>
      <c r="L490" s="188">
        <f t="shared" si="56"/>
        <v>2560</v>
      </c>
      <c r="M490" s="402"/>
      <c r="N490" s="126"/>
      <c r="O490" s="126"/>
      <c r="P490" s="126"/>
      <c r="Q490" s="408">
        <v>2560</v>
      </c>
      <c r="R490" s="126"/>
      <c r="S490" s="126"/>
      <c r="T490" s="126"/>
      <c r="U490" s="313"/>
      <c r="V490" s="126"/>
      <c r="W490" s="126"/>
      <c r="X490" s="126"/>
    </row>
    <row r="491" spans="1:24" s="400" customFormat="1" hidden="1">
      <c r="A491" s="122">
        <v>8</v>
      </c>
      <c r="B491" s="354" t="s">
        <v>34</v>
      </c>
      <c r="C491" s="354"/>
      <c r="D491" s="588" t="s">
        <v>359</v>
      </c>
      <c r="E491" s="188">
        <f t="shared" si="54"/>
        <v>2880</v>
      </c>
      <c r="F491" s="188">
        <f t="shared" si="59"/>
        <v>0</v>
      </c>
      <c r="G491" s="110"/>
      <c r="H491" s="110"/>
      <c r="I491" s="110"/>
      <c r="J491" s="110"/>
      <c r="K491" s="110"/>
      <c r="L491" s="188">
        <f t="shared" si="56"/>
        <v>2880</v>
      </c>
      <c r="M491" s="402"/>
      <c r="N491" s="126"/>
      <c r="O491" s="126"/>
      <c r="P491" s="126"/>
      <c r="Q491" s="126">
        <v>2880</v>
      </c>
      <c r="R491" s="126"/>
      <c r="S491" s="126"/>
      <c r="T491" s="126"/>
      <c r="U491" s="313"/>
      <c r="V491" s="126"/>
      <c r="W491" s="126"/>
      <c r="X491" s="126"/>
    </row>
    <row r="492" spans="1:24" s="400" customFormat="1" ht="33.75" hidden="1">
      <c r="A492" s="122">
        <v>9</v>
      </c>
      <c r="B492" s="354" t="s">
        <v>34</v>
      </c>
      <c r="C492" s="555"/>
      <c r="D492" s="589" t="s">
        <v>360</v>
      </c>
      <c r="E492" s="188">
        <f t="shared" si="54"/>
        <v>4176</v>
      </c>
      <c r="F492" s="188">
        <f t="shared" si="59"/>
        <v>0</v>
      </c>
      <c r="G492" s="110"/>
      <c r="H492" s="110"/>
      <c r="I492" s="110"/>
      <c r="J492" s="110"/>
      <c r="K492" s="110"/>
      <c r="L492" s="188">
        <f t="shared" si="56"/>
        <v>4176</v>
      </c>
      <c r="M492" s="402"/>
      <c r="N492" s="126"/>
      <c r="O492" s="126"/>
      <c r="P492" s="126"/>
      <c r="Q492" s="126">
        <v>4176</v>
      </c>
      <c r="R492" s="126"/>
      <c r="S492" s="126"/>
      <c r="T492" s="126"/>
      <c r="U492" s="313"/>
      <c r="V492" s="126"/>
      <c r="W492" s="126"/>
      <c r="X492" s="126"/>
    </row>
    <row r="493" spans="1:24" s="400" customFormat="1" ht="22.5" hidden="1">
      <c r="A493" s="122">
        <v>10</v>
      </c>
      <c r="B493" s="354" t="s">
        <v>34</v>
      </c>
      <c r="C493" s="354"/>
      <c r="D493" s="413" t="s">
        <v>361</v>
      </c>
      <c r="E493" s="188">
        <f t="shared" si="54"/>
        <v>2560</v>
      </c>
      <c r="F493" s="188">
        <f t="shared" si="59"/>
        <v>0</v>
      </c>
      <c r="G493" s="110"/>
      <c r="H493" s="110"/>
      <c r="I493" s="110"/>
      <c r="J493" s="110"/>
      <c r="K493" s="110"/>
      <c r="L493" s="188">
        <f t="shared" si="56"/>
        <v>2560</v>
      </c>
      <c r="M493" s="402"/>
      <c r="N493" s="126"/>
      <c r="O493" s="126"/>
      <c r="P493" s="126"/>
      <c r="Q493" s="408">
        <v>2560</v>
      </c>
      <c r="R493" s="126"/>
      <c r="S493" s="126"/>
      <c r="T493" s="126"/>
      <c r="U493" s="313"/>
      <c r="V493" s="126"/>
      <c r="W493" s="126"/>
      <c r="X493" s="126"/>
    </row>
    <row r="494" spans="1:24" s="398" customFormat="1" hidden="1">
      <c r="A494" s="317">
        <v>18</v>
      </c>
      <c r="B494" s="396" t="s">
        <v>34</v>
      </c>
      <c r="C494" s="396"/>
      <c r="D494" s="405" t="s">
        <v>33</v>
      </c>
      <c r="E494" s="51">
        <f t="shared" si="54"/>
        <v>856435</v>
      </c>
      <c r="F494" s="51">
        <f t="shared" si="59"/>
        <v>270000</v>
      </c>
      <c r="G494" s="96">
        <f>SUM(G495:G504)</f>
        <v>270000</v>
      </c>
      <c r="H494" s="96">
        <f t="shared" ref="H494:X494" si="62">SUM(H495:H504)</f>
        <v>0</v>
      </c>
      <c r="I494" s="96">
        <f t="shared" si="62"/>
        <v>0</v>
      </c>
      <c r="J494" s="96">
        <f t="shared" si="62"/>
        <v>0</v>
      </c>
      <c r="K494" s="96">
        <f t="shared" si="62"/>
        <v>0</v>
      </c>
      <c r="L494" s="51">
        <f t="shared" si="56"/>
        <v>586435</v>
      </c>
      <c r="M494" s="96">
        <f t="shared" si="62"/>
        <v>12040</v>
      </c>
      <c r="N494" s="96">
        <f t="shared" si="62"/>
        <v>58800</v>
      </c>
      <c r="O494" s="96">
        <f t="shared" si="62"/>
        <v>42090</v>
      </c>
      <c r="P494" s="96">
        <f t="shared" si="62"/>
        <v>77290</v>
      </c>
      <c r="Q494" s="96">
        <f t="shared" si="62"/>
        <v>67649</v>
      </c>
      <c r="R494" s="96">
        <f t="shared" si="62"/>
        <v>10920</v>
      </c>
      <c r="S494" s="96">
        <f t="shared" si="62"/>
        <v>37660</v>
      </c>
      <c r="T494" s="96">
        <f t="shared" si="62"/>
        <v>43400</v>
      </c>
      <c r="U494" s="96">
        <f t="shared" si="62"/>
        <v>47166</v>
      </c>
      <c r="V494" s="96">
        <f t="shared" si="62"/>
        <v>88970</v>
      </c>
      <c r="W494" s="96">
        <f t="shared" si="62"/>
        <v>73050</v>
      </c>
      <c r="X494" s="96">
        <f t="shared" si="62"/>
        <v>27400</v>
      </c>
    </row>
    <row r="495" spans="1:24" s="400" customFormat="1" ht="22.5" hidden="1">
      <c r="A495" s="122">
        <v>1</v>
      </c>
      <c r="B495" s="354" t="s">
        <v>34</v>
      </c>
      <c r="C495" s="354"/>
      <c r="D495" s="399" t="s">
        <v>338</v>
      </c>
      <c r="E495" s="188">
        <f t="shared" si="54"/>
        <v>206046</v>
      </c>
      <c r="F495" s="188">
        <f t="shared" si="59"/>
        <v>70000</v>
      </c>
      <c r="G495" s="110">
        <v>70000</v>
      </c>
      <c r="H495" s="110"/>
      <c r="I495" s="110"/>
      <c r="J495" s="110"/>
      <c r="K495" s="110"/>
      <c r="L495" s="188">
        <f t="shared" si="56"/>
        <v>136046</v>
      </c>
      <c r="M495" s="402">
        <v>10800</v>
      </c>
      <c r="N495" s="126">
        <v>17500</v>
      </c>
      <c r="O495" s="126">
        <v>25690</v>
      </c>
      <c r="P495" s="126">
        <v>32450</v>
      </c>
      <c r="Q495" s="126">
        <v>4176</v>
      </c>
      <c r="R495" s="126"/>
      <c r="S495" s="126">
        <v>5560</v>
      </c>
      <c r="T495" s="126">
        <v>2660</v>
      </c>
      <c r="U495" s="313">
        <v>9500</v>
      </c>
      <c r="V495" s="126">
        <f>3350+14060</f>
        <v>17410</v>
      </c>
      <c r="W495" s="126">
        <f>2550</f>
        <v>2550</v>
      </c>
      <c r="X495" s="126">
        <v>7750</v>
      </c>
    </row>
    <row r="496" spans="1:24" s="400" customFormat="1" ht="33.75" hidden="1">
      <c r="A496" s="122">
        <v>2</v>
      </c>
      <c r="B496" s="354" t="s">
        <v>34</v>
      </c>
      <c r="C496" s="354"/>
      <c r="D496" s="582" t="s">
        <v>339</v>
      </c>
      <c r="E496" s="188">
        <f t="shared" si="54"/>
        <v>215280</v>
      </c>
      <c r="F496" s="188">
        <f t="shared" si="59"/>
        <v>180000</v>
      </c>
      <c r="G496" s="110">
        <v>180000</v>
      </c>
      <c r="H496" s="110"/>
      <c r="I496" s="110"/>
      <c r="J496" s="110"/>
      <c r="K496" s="110"/>
      <c r="L496" s="188">
        <f t="shared" si="56"/>
        <v>35280</v>
      </c>
      <c r="M496" s="402"/>
      <c r="N496" s="126">
        <v>5000</v>
      </c>
      <c r="O496" s="126"/>
      <c r="P496" s="126">
        <v>1040</v>
      </c>
      <c r="Q496" s="126">
        <v>0</v>
      </c>
      <c r="R496" s="126">
        <v>10600</v>
      </c>
      <c r="S496" s="126">
        <v>4500</v>
      </c>
      <c r="T496" s="126">
        <v>1860</v>
      </c>
      <c r="U496" s="313">
        <v>5340</v>
      </c>
      <c r="V496" s="126">
        <v>5040</v>
      </c>
      <c r="W496" s="126"/>
      <c r="X496" s="126">
        <v>1900</v>
      </c>
    </row>
    <row r="497" spans="1:24" s="400" customFormat="1" ht="45" hidden="1">
      <c r="A497" s="122">
        <v>3</v>
      </c>
      <c r="B497" s="354" t="s">
        <v>34</v>
      </c>
      <c r="C497" s="354"/>
      <c r="D497" s="582" t="s">
        <v>340</v>
      </c>
      <c r="E497" s="188">
        <f t="shared" si="54"/>
        <v>95250</v>
      </c>
      <c r="F497" s="188">
        <f t="shared" si="59"/>
        <v>20000</v>
      </c>
      <c r="G497" s="110">
        <v>20000</v>
      </c>
      <c r="H497" s="110"/>
      <c r="I497" s="110"/>
      <c r="J497" s="110"/>
      <c r="K497" s="110"/>
      <c r="L497" s="188">
        <f t="shared" si="56"/>
        <v>75250</v>
      </c>
      <c r="M497" s="402">
        <v>1240</v>
      </c>
      <c r="N497" s="126">
        <v>11700</v>
      </c>
      <c r="O497" s="126"/>
      <c r="P497" s="126"/>
      <c r="Q497" s="408"/>
      <c r="R497" s="126"/>
      <c r="S497" s="126"/>
      <c r="T497" s="126">
        <v>11360</v>
      </c>
      <c r="U497" s="124"/>
      <c r="V497" s="126">
        <v>50800</v>
      </c>
      <c r="W497" s="126"/>
      <c r="X497" s="126">
        <v>150</v>
      </c>
    </row>
    <row r="498" spans="1:24" s="400" customFormat="1" hidden="1">
      <c r="A498" s="122">
        <v>4</v>
      </c>
      <c r="B498" s="354" t="s">
        <v>34</v>
      </c>
      <c r="C498" s="557"/>
      <c r="D498" s="414" t="s">
        <v>362</v>
      </c>
      <c r="E498" s="188">
        <f t="shared" si="54"/>
        <v>133506</v>
      </c>
      <c r="F498" s="188">
        <f t="shared" si="59"/>
        <v>0</v>
      </c>
      <c r="G498" s="110"/>
      <c r="H498" s="110"/>
      <c r="I498" s="110"/>
      <c r="J498" s="110"/>
      <c r="K498" s="110"/>
      <c r="L498" s="188">
        <f t="shared" si="56"/>
        <v>133506</v>
      </c>
      <c r="M498" s="402"/>
      <c r="N498" s="126">
        <v>5000</v>
      </c>
      <c r="O498" s="126">
        <v>16400</v>
      </c>
      <c r="P498" s="126">
        <f>4800+39000</f>
        <v>43800</v>
      </c>
      <c r="Q498" s="408">
        <v>3140</v>
      </c>
      <c r="R498" s="126"/>
      <c r="S498" s="126"/>
      <c r="T498" s="126">
        <v>16000</v>
      </c>
      <c r="U498" s="313">
        <v>32326</v>
      </c>
      <c r="V498" s="126">
        <f>6720+9000</f>
        <v>15720</v>
      </c>
      <c r="W498" s="126"/>
      <c r="X498" s="126">
        <v>1120</v>
      </c>
    </row>
    <row r="499" spans="1:24" s="400" customFormat="1" ht="22.5" hidden="1">
      <c r="A499" s="122">
        <v>5</v>
      </c>
      <c r="B499" s="354" t="s">
        <v>34</v>
      </c>
      <c r="C499" s="557"/>
      <c r="D499" s="415" t="s">
        <v>363</v>
      </c>
      <c r="E499" s="188">
        <f t="shared" si="54"/>
        <v>146020</v>
      </c>
      <c r="F499" s="188">
        <f t="shared" si="59"/>
        <v>0</v>
      </c>
      <c r="G499" s="110"/>
      <c r="H499" s="110"/>
      <c r="I499" s="110"/>
      <c r="J499" s="110"/>
      <c r="K499" s="110"/>
      <c r="L499" s="188">
        <f t="shared" si="56"/>
        <v>146020</v>
      </c>
      <c r="M499" s="402"/>
      <c r="N499" s="126">
        <v>19600</v>
      </c>
      <c r="O499" s="126"/>
      <c r="P499" s="126"/>
      <c r="Q499" s="126">
        <v>0</v>
      </c>
      <c r="R499" s="126">
        <v>320</v>
      </c>
      <c r="S499" s="126">
        <f>7600+20000</f>
        <v>27600</v>
      </c>
      <c r="T499" s="126">
        <v>11520</v>
      </c>
      <c r="U499" s="313">
        <v>0</v>
      </c>
      <c r="V499" s="126"/>
      <c r="W499" s="126">
        <f>70500</f>
        <v>70500</v>
      </c>
      <c r="X499" s="126">
        <v>16480</v>
      </c>
    </row>
    <row r="500" spans="1:24" s="400" customFormat="1" hidden="1">
      <c r="A500" s="122">
        <v>6</v>
      </c>
      <c r="B500" s="354" t="s">
        <v>34</v>
      </c>
      <c r="C500" s="557"/>
      <c r="D500" s="416" t="s">
        <v>358</v>
      </c>
      <c r="E500" s="188">
        <f t="shared" si="54"/>
        <v>36480</v>
      </c>
      <c r="F500" s="188">
        <f t="shared" si="59"/>
        <v>0</v>
      </c>
      <c r="G500" s="110"/>
      <c r="H500" s="110"/>
      <c r="I500" s="110"/>
      <c r="J500" s="110"/>
      <c r="K500" s="110"/>
      <c r="L500" s="188">
        <f t="shared" si="56"/>
        <v>36480</v>
      </c>
      <c r="M500" s="402"/>
      <c r="N500" s="126"/>
      <c r="O500" s="126"/>
      <c r="P500" s="126"/>
      <c r="Q500" s="408">
        <v>36480</v>
      </c>
      <c r="R500" s="126"/>
      <c r="S500" s="126"/>
      <c r="T500" s="126"/>
      <c r="U500" s="124"/>
      <c r="V500" s="126"/>
      <c r="W500" s="126"/>
      <c r="X500" s="126"/>
    </row>
    <row r="501" spans="1:24" s="400" customFormat="1" hidden="1">
      <c r="A501" s="122">
        <v>7</v>
      </c>
      <c r="B501" s="354" t="s">
        <v>34</v>
      </c>
      <c r="C501" s="557"/>
      <c r="D501" s="590" t="s">
        <v>359</v>
      </c>
      <c r="E501" s="188">
        <f t="shared" si="54"/>
        <v>2560</v>
      </c>
      <c r="F501" s="188">
        <f t="shared" si="59"/>
        <v>0</v>
      </c>
      <c r="G501" s="110"/>
      <c r="H501" s="110"/>
      <c r="I501" s="110"/>
      <c r="J501" s="110"/>
      <c r="K501" s="110"/>
      <c r="L501" s="188">
        <f t="shared" si="56"/>
        <v>2560</v>
      </c>
      <c r="M501" s="402"/>
      <c r="N501" s="126"/>
      <c r="O501" s="126"/>
      <c r="P501" s="126"/>
      <c r="Q501" s="408">
        <v>2560</v>
      </c>
      <c r="R501" s="126"/>
      <c r="S501" s="126"/>
      <c r="T501" s="126"/>
      <c r="U501" s="124"/>
      <c r="V501" s="126"/>
      <c r="W501" s="126"/>
      <c r="X501" s="126"/>
    </row>
    <row r="502" spans="1:24" s="400" customFormat="1" ht="33.75" hidden="1">
      <c r="A502" s="122">
        <v>8</v>
      </c>
      <c r="B502" s="354" t="s">
        <v>34</v>
      </c>
      <c r="C502" s="557"/>
      <c r="D502" s="591" t="s">
        <v>360</v>
      </c>
      <c r="E502" s="188">
        <f t="shared" si="54"/>
        <v>7613</v>
      </c>
      <c r="F502" s="188">
        <f t="shared" si="59"/>
        <v>0</v>
      </c>
      <c r="G502" s="110"/>
      <c r="H502" s="110"/>
      <c r="I502" s="110"/>
      <c r="J502" s="110"/>
      <c r="K502" s="110"/>
      <c r="L502" s="188">
        <f t="shared" si="56"/>
        <v>7613</v>
      </c>
      <c r="M502" s="402"/>
      <c r="N502" s="126"/>
      <c r="O502" s="126"/>
      <c r="P502" s="126"/>
      <c r="Q502" s="408">
        <v>7613</v>
      </c>
      <c r="R502" s="126"/>
      <c r="S502" s="126"/>
      <c r="T502" s="126"/>
      <c r="U502" s="124"/>
      <c r="V502" s="126"/>
      <c r="W502" s="126"/>
      <c r="X502" s="126"/>
    </row>
    <row r="503" spans="1:24" s="400" customFormat="1" hidden="1">
      <c r="A503" s="122">
        <v>9</v>
      </c>
      <c r="B503" s="354" t="s">
        <v>34</v>
      </c>
      <c r="C503" s="557"/>
      <c r="D503" s="417" t="s">
        <v>364</v>
      </c>
      <c r="E503" s="188">
        <f t="shared" si="54"/>
        <v>10800</v>
      </c>
      <c r="F503" s="188">
        <f t="shared" si="59"/>
        <v>0</v>
      </c>
      <c r="G503" s="270"/>
      <c r="H503" s="110"/>
      <c r="I503" s="110"/>
      <c r="J503" s="110"/>
      <c r="K503" s="110"/>
      <c r="L503" s="188">
        <f t="shared" si="56"/>
        <v>10800</v>
      </c>
      <c r="M503" s="402"/>
      <c r="N503" s="126"/>
      <c r="O503" s="126"/>
      <c r="P503" s="126"/>
      <c r="Q503" s="408">
        <v>10800</v>
      </c>
      <c r="R503" s="126"/>
      <c r="S503" s="126"/>
      <c r="T503" s="126"/>
      <c r="U503" s="124"/>
      <c r="V503" s="126"/>
      <c r="W503" s="126"/>
      <c r="X503" s="126"/>
    </row>
    <row r="504" spans="1:24" s="400" customFormat="1" ht="33.75" hidden="1">
      <c r="A504" s="122">
        <v>10</v>
      </c>
      <c r="B504" s="354" t="s">
        <v>34</v>
      </c>
      <c r="C504" s="557"/>
      <c r="D504" s="418" t="s">
        <v>222</v>
      </c>
      <c r="E504" s="188">
        <f t="shared" si="54"/>
        <v>2880</v>
      </c>
      <c r="F504" s="188">
        <f t="shared" si="59"/>
        <v>0</v>
      </c>
      <c r="G504" s="110"/>
      <c r="H504" s="110"/>
      <c r="I504" s="110"/>
      <c r="J504" s="110"/>
      <c r="K504" s="110"/>
      <c r="L504" s="188">
        <f t="shared" si="56"/>
        <v>2880</v>
      </c>
      <c r="M504" s="402"/>
      <c r="N504" s="126"/>
      <c r="O504" s="126"/>
      <c r="P504" s="126"/>
      <c r="Q504" s="408">
        <v>2880</v>
      </c>
      <c r="R504" s="126"/>
      <c r="S504" s="126"/>
      <c r="T504" s="126"/>
      <c r="U504" s="124"/>
      <c r="V504" s="126"/>
      <c r="W504" s="126"/>
      <c r="X504" s="126"/>
    </row>
    <row r="505" spans="1:24" s="275" customFormat="1" hidden="1">
      <c r="A505" s="317">
        <v>19</v>
      </c>
      <c r="B505" s="396"/>
      <c r="C505" s="396"/>
      <c r="D505" s="405" t="s">
        <v>241</v>
      </c>
      <c r="E505" s="51">
        <f t="shared" si="54"/>
        <v>4860867</v>
      </c>
      <c r="F505" s="51">
        <f t="shared" si="59"/>
        <v>2946525</v>
      </c>
      <c r="G505" s="96">
        <f>G506+G523+G525+G529</f>
        <v>2023125</v>
      </c>
      <c r="H505" s="96">
        <f>H506+H523+H525+H529</f>
        <v>278900</v>
      </c>
      <c r="I505" s="96">
        <f>I506+I523+I525+I529</f>
        <v>574500</v>
      </c>
      <c r="J505" s="96">
        <f>J506+J523+J525+J529</f>
        <v>70000</v>
      </c>
      <c r="K505" s="96">
        <f>K506+K523+K525+K529</f>
        <v>0</v>
      </c>
      <c r="L505" s="51">
        <f t="shared" si="56"/>
        <v>1914342</v>
      </c>
      <c r="M505" s="96">
        <f t="shared" ref="M505:X505" si="63">M506+M523+M525+M529</f>
        <v>285970</v>
      </c>
      <c r="N505" s="96">
        <f t="shared" si="63"/>
        <v>55400</v>
      </c>
      <c r="O505" s="96">
        <f t="shared" si="63"/>
        <v>170340</v>
      </c>
      <c r="P505" s="96">
        <f t="shared" si="63"/>
        <v>38900</v>
      </c>
      <c r="Q505" s="96">
        <f t="shared" si="63"/>
        <v>326974</v>
      </c>
      <c r="R505" s="96">
        <f t="shared" si="63"/>
        <v>136148</v>
      </c>
      <c r="S505" s="96">
        <f t="shared" si="63"/>
        <v>79207</v>
      </c>
      <c r="T505" s="96">
        <f t="shared" si="63"/>
        <v>272898</v>
      </c>
      <c r="U505" s="96">
        <f t="shared" si="63"/>
        <v>215580</v>
      </c>
      <c r="V505" s="96">
        <f t="shared" si="63"/>
        <v>65755</v>
      </c>
      <c r="W505" s="96">
        <f t="shared" si="63"/>
        <v>66470</v>
      </c>
      <c r="X505" s="96">
        <f t="shared" si="63"/>
        <v>200700</v>
      </c>
    </row>
    <row r="506" spans="1:24" s="420" customFormat="1" ht="21" hidden="1">
      <c r="A506" s="353" t="s">
        <v>268</v>
      </c>
      <c r="B506" s="362" t="s">
        <v>34</v>
      </c>
      <c r="C506" s="362"/>
      <c r="D506" s="419" t="s">
        <v>262</v>
      </c>
      <c r="E506" s="100">
        <f t="shared" si="54"/>
        <v>3402032</v>
      </c>
      <c r="F506" s="100">
        <f t="shared" si="59"/>
        <v>2023125</v>
      </c>
      <c r="G506" s="101">
        <f>SUM(G507:G522)</f>
        <v>2023125</v>
      </c>
      <c r="H506" s="101">
        <f t="shared" ref="H506:X506" si="64">SUM(H507:H522)</f>
        <v>0</v>
      </c>
      <c r="I506" s="101">
        <f t="shared" si="64"/>
        <v>0</v>
      </c>
      <c r="J506" s="101">
        <f t="shared" si="64"/>
        <v>0</v>
      </c>
      <c r="K506" s="101">
        <f t="shared" si="64"/>
        <v>0</v>
      </c>
      <c r="L506" s="100">
        <f t="shared" si="56"/>
        <v>1378907</v>
      </c>
      <c r="M506" s="101">
        <f t="shared" si="64"/>
        <v>102090</v>
      </c>
      <c r="N506" s="101">
        <f t="shared" si="64"/>
        <v>13000</v>
      </c>
      <c r="O506" s="101">
        <f t="shared" si="64"/>
        <v>158340</v>
      </c>
      <c r="P506" s="101">
        <f t="shared" si="64"/>
        <v>27900</v>
      </c>
      <c r="Q506" s="101">
        <f t="shared" si="64"/>
        <v>274894</v>
      </c>
      <c r="R506" s="101">
        <f t="shared" si="64"/>
        <v>116948</v>
      </c>
      <c r="S506" s="101">
        <f t="shared" si="64"/>
        <v>34692</v>
      </c>
      <c r="T506" s="101">
        <f t="shared" si="64"/>
        <v>247178</v>
      </c>
      <c r="U506" s="101">
        <f t="shared" si="64"/>
        <v>173060</v>
      </c>
      <c r="V506" s="101">
        <f t="shared" si="64"/>
        <v>55755</v>
      </c>
      <c r="W506" s="101">
        <f t="shared" si="64"/>
        <v>34550</v>
      </c>
      <c r="X506" s="101">
        <f t="shared" si="64"/>
        <v>140500</v>
      </c>
    </row>
    <row r="507" spans="1:24" s="421" customFormat="1" ht="56.25" hidden="1">
      <c r="A507" s="122">
        <v>1</v>
      </c>
      <c r="B507" s="354" t="s">
        <v>34</v>
      </c>
      <c r="C507" s="354"/>
      <c r="D507" s="399" t="s">
        <v>139</v>
      </c>
      <c r="E507" s="188">
        <f t="shared" si="54"/>
        <v>418700</v>
      </c>
      <c r="F507" s="188">
        <f t="shared" si="59"/>
        <v>311000</v>
      </c>
      <c r="G507" s="105">
        <f>71000+50000+100000+36000+80000-26000</f>
        <v>311000</v>
      </c>
      <c r="H507" s="105"/>
      <c r="I507" s="105"/>
      <c r="J507" s="105"/>
      <c r="K507" s="105"/>
      <c r="L507" s="188">
        <f t="shared" si="56"/>
        <v>107700</v>
      </c>
      <c r="M507" s="105"/>
      <c r="N507" s="105">
        <v>1800</v>
      </c>
      <c r="O507" s="105">
        <v>2000</v>
      </c>
      <c r="P507" s="105"/>
      <c r="Q507" s="105">
        <v>22320</v>
      </c>
      <c r="R507" s="105"/>
      <c r="S507" s="105">
        <v>3420</v>
      </c>
      <c r="T507" s="105">
        <v>3000</v>
      </c>
      <c r="U507" s="105">
        <v>36000</v>
      </c>
      <c r="V507" s="105">
        <v>3800</v>
      </c>
      <c r="W507" s="105">
        <v>12960</v>
      </c>
      <c r="X507" s="105">
        <v>22400</v>
      </c>
    </row>
    <row r="508" spans="1:24" s="421" customFormat="1" ht="33.75" hidden="1">
      <c r="A508" s="122">
        <v>2</v>
      </c>
      <c r="B508" s="354" t="s">
        <v>34</v>
      </c>
      <c r="C508" s="354"/>
      <c r="D508" s="399" t="s">
        <v>413</v>
      </c>
      <c r="E508" s="188">
        <f t="shared" si="54"/>
        <v>1199380</v>
      </c>
      <c r="F508" s="188">
        <f t="shared" si="59"/>
        <v>726000</v>
      </c>
      <c r="G508" s="110">
        <f>424000+150000+10000+116000+30000-4000</f>
        <v>726000</v>
      </c>
      <c r="H508" s="110"/>
      <c r="I508" s="110"/>
      <c r="J508" s="110"/>
      <c r="K508" s="110"/>
      <c r="L508" s="188">
        <f t="shared" si="56"/>
        <v>473380</v>
      </c>
      <c r="M508" s="110"/>
      <c r="N508" s="110">
        <v>1200</v>
      </c>
      <c r="O508" s="110">
        <v>63000</v>
      </c>
      <c r="P508" s="110"/>
      <c r="Q508" s="110">
        <v>22170</v>
      </c>
      <c r="R508" s="422">
        <v>108348</v>
      </c>
      <c r="S508" s="110">
        <v>13192</v>
      </c>
      <c r="T508" s="110">
        <v>163670</v>
      </c>
      <c r="U508" s="110">
        <v>40000</v>
      </c>
      <c r="V508" s="110">
        <v>3800</v>
      </c>
      <c r="W508" s="110">
        <v>14000</v>
      </c>
      <c r="X508" s="110">
        <v>44000</v>
      </c>
    </row>
    <row r="509" spans="1:24" s="421" customFormat="1" ht="135" hidden="1">
      <c r="A509" s="122">
        <v>3</v>
      </c>
      <c r="B509" s="354" t="s">
        <v>34</v>
      </c>
      <c r="C509" s="354"/>
      <c r="D509" s="423" t="s">
        <v>414</v>
      </c>
      <c r="E509" s="188">
        <f t="shared" si="54"/>
        <v>8800</v>
      </c>
      <c r="F509" s="188">
        <f t="shared" si="59"/>
        <v>8800</v>
      </c>
      <c r="G509" s="110">
        <v>8800</v>
      </c>
      <c r="H509" s="110"/>
      <c r="I509" s="110"/>
      <c r="J509" s="110"/>
      <c r="K509" s="110"/>
      <c r="L509" s="188">
        <f t="shared" si="56"/>
        <v>0</v>
      </c>
      <c r="M509" s="110"/>
      <c r="N509" s="110"/>
      <c r="O509" s="110"/>
      <c r="P509" s="110"/>
      <c r="Q509" s="110"/>
      <c r="R509" s="110"/>
      <c r="S509" s="110"/>
      <c r="T509" s="110"/>
      <c r="U509" s="110"/>
      <c r="V509" s="110"/>
      <c r="W509" s="110"/>
      <c r="X509" s="110"/>
    </row>
    <row r="510" spans="1:24" s="421" customFormat="1" ht="45" hidden="1">
      <c r="A510" s="122">
        <v>4</v>
      </c>
      <c r="B510" s="354" t="s">
        <v>34</v>
      </c>
      <c r="C510" s="354"/>
      <c r="D510" s="424" t="s">
        <v>415</v>
      </c>
      <c r="E510" s="188">
        <f t="shared" si="54"/>
        <v>58960</v>
      </c>
      <c r="F510" s="188">
        <f t="shared" si="59"/>
        <v>50805</v>
      </c>
      <c r="G510" s="110">
        <v>50805</v>
      </c>
      <c r="H510" s="110"/>
      <c r="I510" s="110"/>
      <c r="J510" s="110"/>
      <c r="K510" s="110"/>
      <c r="L510" s="188">
        <f t="shared" si="56"/>
        <v>8155</v>
      </c>
      <c r="M510" s="110"/>
      <c r="N510" s="110"/>
      <c r="O510" s="110"/>
      <c r="P510" s="110"/>
      <c r="Q510" s="110"/>
      <c r="R510" s="110"/>
      <c r="S510" s="110"/>
      <c r="T510" s="110"/>
      <c r="U510" s="110"/>
      <c r="V510" s="110">
        <v>8155</v>
      </c>
      <c r="W510" s="110"/>
      <c r="X510" s="110"/>
    </row>
    <row r="511" spans="1:24" s="421" customFormat="1" ht="33.75" hidden="1">
      <c r="A511" s="122">
        <v>5</v>
      </c>
      <c r="B511" s="354" t="s">
        <v>34</v>
      </c>
      <c r="C511" s="354"/>
      <c r="D511" s="424" t="s">
        <v>416</v>
      </c>
      <c r="E511" s="188">
        <f t="shared" si="54"/>
        <v>201242</v>
      </c>
      <c r="F511" s="188">
        <f t="shared" si="59"/>
        <v>0</v>
      </c>
      <c r="G511" s="110"/>
      <c r="H511" s="110"/>
      <c r="I511" s="110"/>
      <c r="J511" s="110"/>
      <c r="K511" s="110"/>
      <c r="L511" s="188">
        <f t="shared" si="56"/>
        <v>201242</v>
      </c>
      <c r="M511" s="110">
        <v>28840</v>
      </c>
      <c r="N511" s="110">
        <v>5000</v>
      </c>
      <c r="O511" s="110">
        <v>21000</v>
      </c>
      <c r="P511" s="110">
        <v>12900</v>
      </c>
      <c r="Q511" s="110">
        <v>30404</v>
      </c>
      <c r="R511" s="110">
        <v>8600</v>
      </c>
      <c r="S511" s="110">
        <v>11740</v>
      </c>
      <c r="T511" s="110">
        <v>32268</v>
      </c>
      <c r="U511" s="110">
        <v>25560</v>
      </c>
      <c r="V511" s="110">
        <v>7000</v>
      </c>
      <c r="W511" s="110">
        <v>6150</v>
      </c>
      <c r="X511" s="110">
        <v>11780</v>
      </c>
    </row>
    <row r="512" spans="1:24" s="421" customFormat="1" ht="22.5" hidden="1">
      <c r="A512" s="122">
        <v>6</v>
      </c>
      <c r="B512" s="354" t="s">
        <v>34</v>
      </c>
      <c r="C512" s="354"/>
      <c r="D512" s="424" t="s">
        <v>417</v>
      </c>
      <c r="E512" s="188">
        <f t="shared" si="54"/>
        <v>89100</v>
      </c>
      <c r="F512" s="188">
        <f t="shared" si="59"/>
        <v>40000</v>
      </c>
      <c r="G512" s="110">
        <v>40000</v>
      </c>
      <c r="H512" s="110"/>
      <c r="I512" s="110"/>
      <c r="J512" s="110"/>
      <c r="K512" s="110"/>
      <c r="L512" s="188">
        <f t="shared" si="56"/>
        <v>49100</v>
      </c>
      <c r="M512" s="110"/>
      <c r="N512" s="110"/>
      <c r="O512" s="110">
        <v>7040</v>
      </c>
      <c r="P512" s="110"/>
      <c r="Q512" s="110"/>
      <c r="R512" s="110"/>
      <c r="S512" s="110"/>
      <c r="T512" s="110">
        <v>16740</v>
      </c>
      <c r="U512" s="110">
        <v>5000</v>
      </c>
      <c r="V512" s="110">
        <v>8000</v>
      </c>
      <c r="W512" s="110"/>
      <c r="X512" s="110">
        <v>12320</v>
      </c>
    </row>
    <row r="513" spans="1:24" s="421" customFormat="1" ht="56.25" hidden="1">
      <c r="A513" s="122">
        <v>7</v>
      </c>
      <c r="B513" s="354" t="s">
        <v>34</v>
      </c>
      <c r="C513" s="354"/>
      <c r="D513" s="424" t="s">
        <v>418</v>
      </c>
      <c r="E513" s="188">
        <f t="shared" si="54"/>
        <v>60000</v>
      </c>
      <c r="F513" s="188">
        <f t="shared" si="59"/>
        <v>55000</v>
      </c>
      <c r="G513" s="110">
        <v>55000</v>
      </c>
      <c r="H513" s="110"/>
      <c r="I513" s="110"/>
      <c r="J513" s="110"/>
      <c r="K513" s="110"/>
      <c r="L513" s="188">
        <f t="shared" si="56"/>
        <v>5000</v>
      </c>
      <c r="M513" s="110"/>
      <c r="N513" s="110"/>
      <c r="O513" s="110"/>
      <c r="P513" s="110"/>
      <c r="Q513" s="110"/>
      <c r="R513" s="110"/>
      <c r="S513" s="110"/>
      <c r="T513" s="110"/>
      <c r="U513" s="425"/>
      <c r="V513" s="110">
        <v>5000</v>
      </c>
      <c r="W513" s="110"/>
      <c r="X513" s="110"/>
    </row>
    <row r="514" spans="1:24" s="421" customFormat="1" ht="56.25" hidden="1">
      <c r="A514" s="122">
        <v>8</v>
      </c>
      <c r="B514" s="354" t="s">
        <v>34</v>
      </c>
      <c r="C514" s="354"/>
      <c r="D514" s="592" t="s">
        <v>419</v>
      </c>
      <c r="E514" s="188">
        <f t="shared" si="54"/>
        <v>436940</v>
      </c>
      <c r="F514" s="188">
        <f t="shared" si="59"/>
        <v>45000</v>
      </c>
      <c r="G514" s="110">
        <v>45000</v>
      </c>
      <c r="H514" s="110"/>
      <c r="I514" s="110"/>
      <c r="J514" s="110"/>
      <c r="K514" s="110"/>
      <c r="L514" s="188">
        <f t="shared" si="56"/>
        <v>391940</v>
      </c>
      <c r="M514" s="110"/>
      <c r="N514" s="110"/>
      <c r="O514" s="110">
        <v>65300</v>
      </c>
      <c r="P514" s="110">
        <v>15000</v>
      </c>
      <c r="Q514" s="110">
        <v>200000</v>
      </c>
      <c r="R514" s="425"/>
      <c r="S514" s="110">
        <v>6340</v>
      </c>
      <c r="T514" s="110">
        <v>6300</v>
      </c>
      <c r="U514" s="110">
        <v>38000</v>
      </c>
      <c r="V514" s="110">
        <v>11000</v>
      </c>
      <c r="W514" s="110"/>
      <c r="X514" s="110">
        <v>50000</v>
      </c>
    </row>
    <row r="515" spans="1:24" s="421" customFormat="1" ht="45" hidden="1">
      <c r="A515" s="122">
        <v>9</v>
      </c>
      <c r="B515" s="354" t="s">
        <v>34</v>
      </c>
      <c r="C515" s="354"/>
      <c r="D515" s="426" t="s">
        <v>616</v>
      </c>
      <c r="E515" s="188">
        <f t="shared" si="54"/>
        <v>92520</v>
      </c>
      <c r="F515" s="188">
        <f t="shared" si="59"/>
        <v>91520</v>
      </c>
      <c r="G515" s="110">
        <v>91520</v>
      </c>
      <c r="H515" s="110"/>
      <c r="I515" s="110"/>
      <c r="J515" s="110"/>
      <c r="K515" s="110"/>
      <c r="L515" s="188">
        <f t="shared" si="56"/>
        <v>1000</v>
      </c>
      <c r="M515" s="110"/>
      <c r="N515" s="110"/>
      <c r="O515" s="110"/>
      <c r="P515" s="110"/>
      <c r="Q515" s="110"/>
      <c r="R515" s="110"/>
      <c r="S515" s="110"/>
      <c r="T515" s="110"/>
      <c r="U515" s="110"/>
      <c r="V515" s="110">
        <v>1000</v>
      </c>
      <c r="W515" s="110"/>
      <c r="X515" s="110"/>
    </row>
    <row r="516" spans="1:24" s="421" customFormat="1" ht="45" hidden="1">
      <c r="A516" s="122">
        <v>10</v>
      </c>
      <c r="B516" s="354" t="s">
        <v>34</v>
      </c>
      <c r="C516" s="354"/>
      <c r="D516" s="427" t="s">
        <v>421</v>
      </c>
      <c r="E516" s="188">
        <f t="shared" si="54"/>
        <v>54740</v>
      </c>
      <c r="F516" s="188">
        <f t="shared" si="59"/>
        <v>34000</v>
      </c>
      <c r="G516" s="110">
        <v>34000</v>
      </c>
      <c r="H516" s="110"/>
      <c r="I516" s="110"/>
      <c r="J516" s="110"/>
      <c r="K516" s="110"/>
      <c r="L516" s="188">
        <f t="shared" si="56"/>
        <v>20740</v>
      </c>
      <c r="M516" s="110"/>
      <c r="N516" s="110">
        <v>5000</v>
      </c>
      <c r="O516" s="110"/>
      <c r="P516" s="110"/>
      <c r="Q516" s="110"/>
      <c r="R516" s="110"/>
      <c r="S516" s="110"/>
      <c r="T516" s="110">
        <v>1600</v>
      </c>
      <c r="U516" s="110">
        <v>11700</v>
      </c>
      <c r="V516" s="110">
        <v>1000</v>
      </c>
      <c r="W516" s="110">
        <v>1440</v>
      </c>
      <c r="X516" s="110"/>
    </row>
    <row r="517" spans="1:24" s="421" customFormat="1" hidden="1">
      <c r="A517" s="122">
        <v>11</v>
      </c>
      <c r="B517" s="354" t="s">
        <v>34</v>
      </c>
      <c r="C517" s="354"/>
      <c r="D517" s="427" t="s">
        <v>422</v>
      </c>
      <c r="E517" s="188">
        <f t="shared" si="54"/>
        <v>250000</v>
      </c>
      <c r="F517" s="188">
        <f t="shared" si="59"/>
        <v>250000</v>
      </c>
      <c r="G517" s="110">
        <v>250000</v>
      </c>
      <c r="H517" s="110"/>
      <c r="I517" s="110"/>
      <c r="J517" s="110"/>
      <c r="K517" s="110"/>
      <c r="L517" s="188">
        <f t="shared" si="56"/>
        <v>0</v>
      </c>
      <c r="M517" s="110"/>
      <c r="N517" s="110"/>
      <c r="O517" s="110"/>
      <c r="P517" s="110"/>
      <c r="Q517" s="110"/>
      <c r="R517" s="110"/>
      <c r="S517" s="110"/>
      <c r="T517" s="110"/>
      <c r="U517" s="110"/>
      <c r="V517" s="110"/>
      <c r="W517" s="110"/>
      <c r="X517" s="110"/>
    </row>
    <row r="518" spans="1:24" s="421" customFormat="1" hidden="1">
      <c r="A518" s="122">
        <v>12</v>
      </c>
      <c r="B518" s="354" t="s">
        <v>34</v>
      </c>
      <c r="C518" s="354"/>
      <c r="D518" s="109" t="s">
        <v>423</v>
      </c>
      <c r="E518" s="188">
        <f t="shared" si="54"/>
        <v>411000</v>
      </c>
      <c r="F518" s="188">
        <f t="shared" si="59"/>
        <v>411000</v>
      </c>
      <c r="G518" s="110">
        <v>411000</v>
      </c>
      <c r="H518" s="110"/>
      <c r="I518" s="110"/>
      <c r="J518" s="110"/>
      <c r="K518" s="110"/>
      <c r="L518" s="188">
        <f t="shared" si="56"/>
        <v>0</v>
      </c>
      <c r="M518" s="110"/>
      <c r="N518" s="110"/>
      <c r="O518" s="110"/>
      <c r="P518" s="110"/>
      <c r="Q518" s="110"/>
      <c r="R518" s="110"/>
      <c r="S518" s="110"/>
      <c r="T518" s="110"/>
      <c r="U518" s="110"/>
      <c r="V518" s="110"/>
      <c r="W518" s="110"/>
      <c r="X518" s="110"/>
    </row>
    <row r="519" spans="1:24" s="421" customFormat="1" ht="22.5" hidden="1">
      <c r="A519" s="122">
        <v>13</v>
      </c>
      <c r="B519" s="354" t="s">
        <v>34</v>
      </c>
      <c r="C519" s="354"/>
      <c r="D519" s="399" t="s">
        <v>261</v>
      </c>
      <c r="E519" s="188">
        <f t="shared" si="54"/>
        <v>4000</v>
      </c>
      <c r="F519" s="188">
        <f t="shared" si="59"/>
        <v>0</v>
      </c>
      <c r="G519" s="110"/>
      <c r="H519" s="110"/>
      <c r="I519" s="110"/>
      <c r="J519" s="110"/>
      <c r="K519" s="110"/>
      <c r="L519" s="188">
        <f t="shared" si="56"/>
        <v>4000</v>
      </c>
      <c r="M519" s="110"/>
      <c r="N519" s="110"/>
      <c r="O519" s="110"/>
      <c r="P519" s="110"/>
      <c r="Q519" s="110"/>
      <c r="R519" s="110"/>
      <c r="S519" s="110"/>
      <c r="T519" s="110"/>
      <c r="U519" s="110"/>
      <c r="V519" s="110">
        <v>4000</v>
      </c>
      <c r="W519" s="110"/>
      <c r="X519" s="110"/>
    </row>
    <row r="520" spans="1:24" s="421" customFormat="1" ht="33.75" hidden="1">
      <c r="A520" s="122">
        <v>14</v>
      </c>
      <c r="B520" s="354" t="s">
        <v>34</v>
      </c>
      <c r="C520" s="354"/>
      <c r="D520" s="399" t="s">
        <v>141</v>
      </c>
      <c r="E520" s="188">
        <f t="shared" si="54"/>
        <v>23940</v>
      </c>
      <c r="F520" s="188">
        <f t="shared" si="59"/>
        <v>0</v>
      </c>
      <c r="G520" s="110"/>
      <c r="H520" s="110"/>
      <c r="I520" s="110"/>
      <c r="J520" s="110"/>
      <c r="K520" s="110"/>
      <c r="L520" s="188">
        <f t="shared" si="56"/>
        <v>23940</v>
      </c>
      <c r="M520" s="110">
        <v>23940</v>
      </c>
      <c r="N520" s="110"/>
      <c r="O520" s="110"/>
      <c r="P520" s="110"/>
      <c r="Q520" s="110"/>
      <c r="R520" s="110"/>
      <c r="S520" s="110"/>
      <c r="T520" s="110"/>
      <c r="U520" s="110"/>
      <c r="V520" s="110"/>
      <c r="W520" s="110"/>
      <c r="X520" s="110"/>
    </row>
    <row r="521" spans="1:24" s="421" customFormat="1" ht="22.5" hidden="1">
      <c r="A521" s="122">
        <v>15</v>
      </c>
      <c r="B521" s="354" t="s">
        <v>34</v>
      </c>
      <c r="C521" s="354"/>
      <c r="D521" s="399" t="s">
        <v>142</v>
      </c>
      <c r="E521" s="188">
        <f t="shared" si="54"/>
        <v>92710</v>
      </c>
      <c r="F521" s="188">
        <f t="shared" si="59"/>
        <v>0</v>
      </c>
      <c r="G521" s="425"/>
      <c r="H521" s="110"/>
      <c r="I521" s="110"/>
      <c r="J521" s="110"/>
      <c r="K521" s="110"/>
      <c r="L521" s="188">
        <f t="shared" si="56"/>
        <v>92710</v>
      </c>
      <c r="M521" s="110">
        <v>49310</v>
      </c>
      <c r="N521" s="110"/>
      <c r="O521" s="110"/>
      <c r="P521" s="110"/>
      <c r="Q521" s="110"/>
      <c r="R521" s="110"/>
      <c r="S521" s="110"/>
      <c r="T521" s="110">
        <v>23600</v>
      </c>
      <c r="U521" s="110">
        <v>16800</v>
      </c>
      <c r="V521" s="110">
        <v>3000</v>
      </c>
      <c r="W521" s="110"/>
      <c r="X521" s="110"/>
    </row>
    <row r="522" spans="1:24" s="266" customFormat="1" hidden="1">
      <c r="A522" s="122">
        <v>5</v>
      </c>
      <c r="B522" s="354" t="s">
        <v>34</v>
      </c>
      <c r="C522" s="354"/>
      <c r="D522" s="428" t="s">
        <v>294</v>
      </c>
      <c r="E522" s="188">
        <f t="shared" ref="E522:E549" si="65">F522+L522</f>
        <v>0</v>
      </c>
      <c r="F522" s="188">
        <f t="shared" si="59"/>
        <v>0</v>
      </c>
      <c r="G522" s="110"/>
      <c r="H522" s="110"/>
      <c r="I522" s="110"/>
      <c r="J522" s="110"/>
      <c r="K522" s="110"/>
      <c r="L522" s="188">
        <f t="shared" ref="L522:L549" si="66">SUM(M522:X522)</f>
        <v>0</v>
      </c>
      <c r="M522" s="107"/>
      <c r="N522" s="107"/>
      <c r="O522" s="107"/>
      <c r="P522" s="107"/>
      <c r="Q522" s="107"/>
      <c r="R522" s="107"/>
      <c r="S522" s="107"/>
      <c r="T522" s="107"/>
      <c r="U522" s="107"/>
      <c r="V522" s="107"/>
      <c r="W522" s="107"/>
      <c r="X522" s="107"/>
    </row>
    <row r="523" spans="1:24" s="429" customFormat="1" ht="21" hidden="1">
      <c r="A523" s="353" t="s">
        <v>269</v>
      </c>
      <c r="B523" s="362" t="s">
        <v>1</v>
      </c>
      <c r="C523" s="362"/>
      <c r="D523" s="419" t="s">
        <v>263</v>
      </c>
      <c r="E523" s="100">
        <f t="shared" si="65"/>
        <v>628435</v>
      </c>
      <c r="F523" s="100">
        <f t="shared" si="59"/>
        <v>278900</v>
      </c>
      <c r="G523" s="101">
        <f>SUM(G524:G524)</f>
        <v>0</v>
      </c>
      <c r="H523" s="101">
        <f>SUM(H524:H524)</f>
        <v>278900</v>
      </c>
      <c r="I523" s="101">
        <f>SUM(I524:I524)</f>
        <v>0</v>
      </c>
      <c r="J523" s="101">
        <f>SUM(J524:J524)</f>
        <v>0</v>
      </c>
      <c r="K523" s="101">
        <f>SUM(K524:K524)</f>
        <v>0</v>
      </c>
      <c r="L523" s="100">
        <f t="shared" si="66"/>
        <v>349535</v>
      </c>
      <c r="M523" s="101">
        <f t="shared" ref="M523:X523" si="67">SUM(M524:M524)</f>
        <v>148500</v>
      </c>
      <c r="N523" s="101">
        <f t="shared" si="67"/>
        <v>34000</v>
      </c>
      <c r="O523" s="101">
        <f t="shared" si="67"/>
        <v>2000</v>
      </c>
      <c r="P523" s="101">
        <f t="shared" si="67"/>
        <v>0</v>
      </c>
      <c r="Q523" s="101">
        <f t="shared" si="67"/>
        <v>5880</v>
      </c>
      <c r="R523" s="101">
        <f t="shared" si="67"/>
        <v>10000</v>
      </c>
      <c r="S523" s="101">
        <f t="shared" si="67"/>
        <v>32715</v>
      </c>
      <c r="T523" s="101">
        <f t="shared" si="67"/>
        <v>15520</v>
      </c>
      <c r="U523" s="101">
        <f t="shared" si="67"/>
        <v>31720</v>
      </c>
      <c r="V523" s="101">
        <f t="shared" si="67"/>
        <v>0</v>
      </c>
      <c r="W523" s="101">
        <f t="shared" si="67"/>
        <v>19200</v>
      </c>
      <c r="X523" s="101">
        <f t="shared" si="67"/>
        <v>50000</v>
      </c>
    </row>
    <row r="524" spans="1:24" s="266" customFormat="1" ht="33.75" hidden="1">
      <c r="A524" s="354"/>
      <c r="B524" s="354" t="s">
        <v>1</v>
      </c>
      <c r="C524" s="354"/>
      <c r="D524" s="64" t="s">
        <v>558</v>
      </c>
      <c r="E524" s="430">
        <f t="shared" si="65"/>
        <v>628435</v>
      </c>
      <c r="F524" s="430">
        <f t="shared" si="59"/>
        <v>278900</v>
      </c>
      <c r="G524" s="53"/>
      <c r="H524" s="53">
        <v>278900</v>
      </c>
      <c r="I524" s="53"/>
      <c r="J524" s="53"/>
      <c r="K524" s="53"/>
      <c r="L524" s="430">
        <f t="shared" si="66"/>
        <v>349535</v>
      </c>
      <c r="M524" s="55">
        <v>148500</v>
      </c>
      <c r="N524" s="56">
        <v>34000</v>
      </c>
      <c r="O524" s="57">
        <v>2000</v>
      </c>
      <c r="P524" s="58"/>
      <c r="Q524" s="59">
        <v>5880</v>
      </c>
      <c r="R524" s="57">
        <v>10000</v>
      </c>
      <c r="S524" s="57">
        <v>32715</v>
      </c>
      <c r="T524" s="58">
        <v>15520</v>
      </c>
      <c r="U524" s="57">
        <v>31720</v>
      </c>
      <c r="V524" s="58"/>
      <c r="W524" s="58">
        <v>19200</v>
      </c>
      <c r="X524" s="60">
        <v>50000</v>
      </c>
    </row>
    <row r="525" spans="1:24" s="3" customFormat="1" ht="21" hidden="1">
      <c r="A525" s="353" t="s">
        <v>270</v>
      </c>
      <c r="B525" s="362" t="s">
        <v>2</v>
      </c>
      <c r="C525" s="362"/>
      <c r="D525" s="419" t="s">
        <v>264</v>
      </c>
      <c r="E525" s="100">
        <f t="shared" si="65"/>
        <v>760400</v>
      </c>
      <c r="F525" s="100">
        <f t="shared" si="59"/>
        <v>574500</v>
      </c>
      <c r="G525" s="101">
        <f t="shared" ref="G525:X525" si="68">SUM(G526:G528)</f>
        <v>0</v>
      </c>
      <c r="H525" s="101">
        <f t="shared" si="68"/>
        <v>0</v>
      </c>
      <c r="I525" s="101">
        <f t="shared" si="68"/>
        <v>574500</v>
      </c>
      <c r="J525" s="101">
        <f t="shared" si="68"/>
        <v>0</v>
      </c>
      <c r="K525" s="101">
        <f t="shared" si="68"/>
        <v>0</v>
      </c>
      <c r="L525" s="100">
        <f t="shared" si="66"/>
        <v>185900</v>
      </c>
      <c r="M525" s="101">
        <f t="shared" si="68"/>
        <v>35380</v>
      </c>
      <c r="N525" s="101">
        <f t="shared" si="68"/>
        <v>8400</v>
      </c>
      <c r="O525" s="101">
        <f t="shared" si="68"/>
        <v>10000</v>
      </c>
      <c r="P525" s="101">
        <f t="shared" si="68"/>
        <v>11000</v>
      </c>
      <c r="Q525" s="101">
        <f t="shared" si="68"/>
        <v>46200</v>
      </c>
      <c r="R525" s="101">
        <f t="shared" si="68"/>
        <v>9200</v>
      </c>
      <c r="S525" s="101">
        <f t="shared" si="68"/>
        <v>11800</v>
      </c>
      <c r="T525" s="101">
        <f t="shared" si="68"/>
        <v>10200</v>
      </c>
      <c r="U525" s="101">
        <f t="shared" si="68"/>
        <v>10800</v>
      </c>
      <c r="V525" s="101">
        <f t="shared" si="68"/>
        <v>10000</v>
      </c>
      <c r="W525" s="101">
        <f t="shared" si="68"/>
        <v>12720</v>
      </c>
      <c r="X525" s="101">
        <f t="shared" si="68"/>
        <v>10200</v>
      </c>
    </row>
    <row r="526" spans="1:24" s="266" customFormat="1" ht="45" hidden="1">
      <c r="A526" s="534">
        <v>1</v>
      </c>
      <c r="B526" s="354" t="s">
        <v>2</v>
      </c>
      <c r="C526" s="354"/>
      <c r="D526" s="535" t="s">
        <v>138</v>
      </c>
      <c r="E526" s="430">
        <f t="shared" si="65"/>
        <v>159000</v>
      </c>
      <c r="F526" s="430">
        <f t="shared" si="59"/>
        <v>159000</v>
      </c>
      <c r="G526" s="432"/>
      <c r="H526" s="432"/>
      <c r="I526" s="432">
        <v>159000</v>
      </c>
      <c r="J526" s="432"/>
      <c r="K526" s="432"/>
      <c r="L526" s="430">
        <f t="shared" si="66"/>
        <v>0</v>
      </c>
      <c r="M526" s="433"/>
      <c r="N526" s="433"/>
      <c r="O526" s="433"/>
      <c r="P526" s="433"/>
      <c r="Q526" s="433"/>
      <c r="R526" s="433"/>
      <c r="S526" s="433"/>
      <c r="T526" s="433"/>
      <c r="U526" s="433"/>
      <c r="V526" s="433"/>
      <c r="W526" s="433"/>
      <c r="X526" s="433"/>
    </row>
    <row r="527" spans="1:24" s="266" customFormat="1" ht="56.25" hidden="1">
      <c r="A527" s="534">
        <v>2</v>
      </c>
      <c r="B527" s="354" t="s">
        <v>2</v>
      </c>
      <c r="C527" s="354"/>
      <c r="D527" s="536" t="s">
        <v>139</v>
      </c>
      <c r="E527" s="430">
        <f t="shared" si="65"/>
        <v>335900</v>
      </c>
      <c r="F527" s="430">
        <f t="shared" si="59"/>
        <v>265200</v>
      </c>
      <c r="G527" s="432"/>
      <c r="H527" s="432"/>
      <c r="I527" s="432">
        <v>265200</v>
      </c>
      <c r="J527" s="432"/>
      <c r="K527" s="432"/>
      <c r="L527" s="430">
        <f t="shared" si="66"/>
        <v>70700</v>
      </c>
      <c r="M527" s="537">
        <f>6200+3980</f>
        <v>10180</v>
      </c>
      <c r="N527" s="537">
        <v>3400</v>
      </c>
      <c r="O527" s="537">
        <v>5000</v>
      </c>
      <c r="P527" s="537">
        <v>6000</v>
      </c>
      <c r="Q527" s="537">
        <v>6200</v>
      </c>
      <c r="R527" s="537">
        <v>4200</v>
      </c>
      <c r="S527" s="537">
        <v>6800</v>
      </c>
      <c r="T527" s="537">
        <v>5200</v>
      </c>
      <c r="U527" s="537">
        <v>5800</v>
      </c>
      <c r="V527" s="537">
        <v>5000</v>
      </c>
      <c r="W527" s="537">
        <f>5200+2520</f>
        <v>7720</v>
      </c>
      <c r="X527" s="537">
        <v>5200</v>
      </c>
    </row>
    <row r="528" spans="1:24" s="266" customFormat="1" ht="33.75" hidden="1">
      <c r="A528" s="534">
        <v>3</v>
      </c>
      <c r="B528" s="354" t="s">
        <v>2</v>
      </c>
      <c r="C528" s="354"/>
      <c r="D528" s="535" t="s">
        <v>140</v>
      </c>
      <c r="E528" s="430">
        <f t="shared" si="65"/>
        <v>265500</v>
      </c>
      <c r="F528" s="430">
        <f t="shared" si="59"/>
        <v>150300</v>
      </c>
      <c r="G528" s="432"/>
      <c r="H528" s="432"/>
      <c r="I528" s="432">
        <v>150300</v>
      </c>
      <c r="J528" s="432"/>
      <c r="K528" s="432"/>
      <c r="L528" s="430">
        <f t="shared" si="66"/>
        <v>115200</v>
      </c>
      <c r="M528" s="537">
        <f>5000+20200</f>
        <v>25200</v>
      </c>
      <c r="N528" s="537">
        <v>5000</v>
      </c>
      <c r="O528" s="537">
        <v>5000</v>
      </c>
      <c r="P528" s="537">
        <v>5000</v>
      </c>
      <c r="Q528" s="537">
        <f>5000+35000</f>
        <v>40000</v>
      </c>
      <c r="R528" s="537">
        <v>5000</v>
      </c>
      <c r="S528" s="537">
        <v>5000</v>
      </c>
      <c r="T528" s="537">
        <v>5000</v>
      </c>
      <c r="U528" s="537">
        <v>5000</v>
      </c>
      <c r="V528" s="537">
        <v>5000</v>
      </c>
      <c r="W528" s="537">
        <v>5000</v>
      </c>
      <c r="X528" s="537">
        <v>5000</v>
      </c>
    </row>
    <row r="529" spans="1:24" s="429" customFormat="1" ht="45" hidden="1">
      <c r="A529" s="434" t="s">
        <v>271</v>
      </c>
      <c r="B529" s="435" t="s">
        <v>582</v>
      </c>
      <c r="C529" s="435"/>
      <c r="D529" s="436" t="s">
        <v>280</v>
      </c>
      <c r="E529" s="100">
        <f t="shared" si="65"/>
        <v>70000</v>
      </c>
      <c r="F529" s="100">
        <f t="shared" si="59"/>
        <v>70000</v>
      </c>
      <c r="G529" s="437">
        <f>SUM(G530:G531)</f>
        <v>0</v>
      </c>
      <c r="H529" s="437">
        <f t="shared" ref="H529:X529" si="69">SUM(H530:H531)</f>
        <v>0</v>
      </c>
      <c r="I529" s="437">
        <f t="shared" si="69"/>
        <v>0</v>
      </c>
      <c r="J529" s="437">
        <f t="shared" si="69"/>
        <v>70000</v>
      </c>
      <c r="K529" s="437">
        <f t="shared" si="69"/>
        <v>0</v>
      </c>
      <c r="L529" s="100">
        <f t="shared" si="66"/>
        <v>0</v>
      </c>
      <c r="M529" s="437">
        <f t="shared" si="69"/>
        <v>0</v>
      </c>
      <c r="N529" s="437">
        <f t="shared" si="69"/>
        <v>0</v>
      </c>
      <c r="O529" s="437">
        <f t="shared" si="69"/>
        <v>0</v>
      </c>
      <c r="P529" s="437">
        <f t="shared" si="69"/>
        <v>0</v>
      </c>
      <c r="Q529" s="437">
        <f t="shared" si="69"/>
        <v>0</v>
      </c>
      <c r="R529" s="437">
        <f t="shared" si="69"/>
        <v>0</v>
      </c>
      <c r="S529" s="437">
        <f t="shared" si="69"/>
        <v>0</v>
      </c>
      <c r="T529" s="437">
        <f t="shared" si="69"/>
        <v>0</v>
      </c>
      <c r="U529" s="437">
        <f t="shared" si="69"/>
        <v>0</v>
      </c>
      <c r="V529" s="437">
        <f t="shared" si="69"/>
        <v>0</v>
      </c>
      <c r="W529" s="437">
        <f t="shared" si="69"/>
        <v>0</v>
      </c>
      <c r="X529" s="437">
        <f t="shared" si="69"/>
        <v>0</v>
      </c>
    </row>
    <row r="530" spans="1:24" s="266" customFormat="1" hidden="1">
      <c r="A530" s="48">
        <v>1</v>
      </c>
      <c r="B530" s="438" t="s">
        <v>582</v>
      </c>
      <c r="C530" s="438"/>
      <c r="D530" s="439" t="s">
        <v>288</v>
      </c>
      <c r="E530" s="430">
        <f t="shared" si="65"/>
        <v>40000</v>
      </c>
      <c r="F530" s="430">
        <f t="shared" si="59"/>
        <v>40000</v>
      </c>
      <c r="G530" s="315"/>
      <c r="H530" s="315"/>
      <c r="I530" s="315"/>
      <c r="J530" s="440">
        <v>40000</v>
      </c>
      <c r="K530" s="315"/>
      <c r="L530" s="430">
        <f t="shared" si="66"/>
        <v>0</v>
      </c>
      <c r="M530" s="315"/>
      <c r="N530" s="315"/>
      <c r="O530" s="315"/>
      <c r="P530" s="315"/>
      <c r="Q530" s="315"/>
      <c r="R530" s="315"/>
      <c r="S530" s="315"/>
      <c r="T530" s="315"/>
      <c r="U530" s="315"/>
      <c r="V530" s="315"/>
      <c r="W530" s="315"/>
      <c r="X530" s="315"/>
    </row>
    <row r="531" spans="1:24" s="266" customFormat="1" hidden="1">
      <c r="A531" s="48">
        <v>2</v>
      </c>
      <c r="B531" s="438" t="s">
        <v>582</v>
      </c>
      <c r="C531" s="438"/>
      <c r="D531" s="439" t="s">
        <v>226</v>
      </c>
      <c r="E531" s="430">
        <f t="shared" si="65"/>
        <v>30000</v>
      </c>
      <c r="F531" s="430">
        <f t="shared" si="59"/>
        <v>30000</v>
      </c>
      <c r="G531" s="315"/>
      <c r="H531" s="315"/>
      <c r="I531" s="315"/>
      <c r="J531" s="315">
        <v>30000</v>
      </c>
      <c r="K531" s="315"/>
      <c r="L531" s="430">
        <f t="shared" si="66"/>
        <v>0</v>
      </c>
      <c r="M531" s="315"/>
      <c r="N531" s="315"/>
      <c r="O531" s="315"/>
      <c r="P531" s="315"/>
      <c r="Q531" s="315"/>
      <c r="R531" s="315"/>
      <c r="S531" s="315"/>
      <c r="T531" s="315"/>
      <c r="U531" s="315"/>
      <c r="V531" s="315"/>
      <c r="W531" s="315"/>
      <c r="X531" s="315"/>
    </row>
    <row r="532" spans="1:24" s="35" customFormat="1" ht="31.5" hidden="1">
      <c r="A532" s="95">
        <v>20</v>
      </c>
      <c r="B532" s="538"/>
      <c r="C532" s="538"/>
      <c r="D532" s="129" t="s">
        <v>242</v>
      </c>
      <c r="E532" s="130">
        <f t="shared" si="65"/>
        <v>91158</v>
      </c>
      <c r="F532" s="130">
        <f t="shared" si="59"/>
        <v>50000</v>
      </c>
      <c r="G532" s="539">
        <f>G533+G535+G541+G544</f>
        <v>50000</v>
      </c>
      <c r="H532" s="539">
        <f>SUM(H534:H534)</f>
        <v>0</v>
      </c>
      <c r="I532" s="539">
        <f>SUM(I534:I534)</f>
        <v>0</v>
      </c>
      <c r="J532" s="539">
        <f>SUM(J534:J534)</f>
        <v>0</v>
      </c>
      <c r="K532" s="539">
        <f>SUM(K534:K534)</f>
        <v>0</v>
      </c>
      <c r="L532" s="130">
        <f t="shared" si="66"/>
        <v>41158</v>
      </c>
      <c r="M532" s="539">
        <f t="shared" ref="M532:X532" si="70">SUM(M534:M534)</f>
        <v>3840</v>
      </c>
      <c r="N532" s="539">
        <f t="shared" si="70"/>
        <v>0</v>
      </c>
      <c r="O532" s="539">
        <f t="shared" si="70"/>
        <v>1600</v>
      </c>
      <c r="P532" s="539">
        <f t="shared" si="70"/>
        <v>2400</v>
      </c>
      <c r="Q532" s="539">
        <f t="shared" si="70"/>
        <v>6736</v>
      </c>
      <c r="R532" s="539">
        <f t="shared" si="70"/>
        <v>1280</v>
      </c>
      <c r="S532" s="539">
        <f t="shared" si="70"/>
        <v>1520</v>
      </c>
      <c r="T532" s="539">
        <f t="shared" si="70"/>
        <v>0</v>
      </c>
      <c r="U532" s="539">
        <f t="shared" si="70"/>
        <v>10392</v>
      </c>
      <c r="V532" s="539">
        <f t="shared" si="70"/>
        <v>8000</v>
      </c>
      <c r="W532" s="539">
        <f t="shared" si="70"/>
        <v>0</v>
      </c>
      <c r="X532" s="539">
        <f t="shared" si="70"/>
        <v>5390</v>
      </c>
    </row>
    <row r="533" spans="1:24" s="3" customFormat="1" ht="31.5" hidden="1">
      <c r="A533" s="441" t="s">
        <v>281</v>
      </c>
      <c r="B533" s="442" t="s">
        <v>34</v>
      </c>
      <c r="C533" s="442"/>
      <c r="D533" s="419" t="s">
        <v>265</v>
      </c>
      <c r="E533" s="100">
        <f t="shared" si="65"/>
        <v>91158</v>
      </c>
      <c r="F533" s="100">
        <f t="shared" si="59"/>
        <v>50000</v>
      </c>
      <c r="G533" s="101">
        <f>SUM(G534:G534)</f>
        <v>50000</v>
      </c>
      <c r="H533" s="101">
        <f>SUM(H534:H534)</f>
        <v>0</v>
      </c>
      <c r="I533" s="101">
        <f>SUM(I534:I534)</f>
        <v>0</v>
      </c>
      <c r="J533" s="101">
        <f>SUM(J534:J534)</f>
        <v>0</v>
      </c>
      <c r="K533" s="101">
        <f>SUM(K534:K534)</f>
        <v>0</v>
      </c>
      <c r="L533" s="100">
        <f t="shared" si="66"/>
        <v>41158</v>
      </c>
      <c r="M533" s="101">
        <f t="shared" ref="M533:X533" si="71">SUM(M534:M534)</f>
        <v>3840</v>
      </c>
      <c r="N533" s="101">
        <f t="shared" si="71"/>
        <v>0</v>
      </c>
      <c r="O533" s="101">
        <f t="shared" si="71"/>
        <v>1600</v>
      </c>
      <c r="P533" s="101">
        <f t="shared" si="71"/>
        <v>2400</v>
      </c>
      <c r="Q533" s="101">
        <f t="shared" si="71"/>
        <v>6736</v>
      </c>
      <c r="R533" s="101">
        <f t="shared" si="71"/>
        <v>1280</v>
      </c>
      <c r="S533" s="101">
        <f t="shared" si="71"/>
        <v>1520</v>
      </c>
      <c r="T533" s="101">
        <f t="shared" si="71"/>
        <v>0</v>
      </c>
      <c r="U533" s="101">
        <f t="shared" si="71"/>
        <v>10392</v>
      </c>
      <c r="V533" s="101">
        <f t="shared" si="71"/>
        <v>8000</v>
      </c>
      <c r="W533" s="101">
        <f t="shared" si="71"/>
        <v>0</v>
      </c>
      <c r="X533" s="101">
        <f t="shared" si="71"/>
        <v>5390</v>
      </c>
    </row>
    <row r="534" spans="1:24" s="444" customFormat="1" ht="22.5" hidden="1">
      <c r="A534" s="196">
        <v>1</v>
      </c>
      <c r="B534" s="443" t="s">
        <v>34</v>
      </c>
      <c r="C534" s="443"/>
      <c r="D534" s="399" t="s">
        <v>424</v>
      </c>
      <c r="E534" s="430">
        <f t="shared" si="65"/>
        <v>91158</v>
      </c>
      <c r="F534" s="430">
        <f t="shared" si="59"/>
        <v>50000</v>
      </c>
      <c r="G534" s="105">
        <v>50000</v>
      </c>
      <c r="H534" s="105"/>
      <c r="I534" s="105"/>
      <c r="J534" s="105"/>
      <c r="K534" s="105"/>
      <c r="L534" s="430">
        <f t="shared" si="66"/>
        <v>41158</v>
      </c>
      <c r="M534" s="105">
        <v>3840</v>
      </c>
      <c r="N534" s="105"/>
      <c r="O534" s="105">
        <v>1600</v>
      </c>
      <c r="P534" s="105">
        <v>2400</v>
      </c>
      <c r="Q534" s="105">
        <v>6736</v>
      </c>
      <c r="R534" s="105">
        <v>1280</v>
      </c>
      <c r="S534" s="105">
        <v>1520</v>
      </c>
      <c r="T534" s="105"/>
      <c r="U534" s="105">
        <v>10392</v>
      </c>
      <c r="V534" s="105">
        <v>8000</v>
      </c>
      <c r="W534" s="105"/>
      <c r="X534" s="105">
        <v>5390</v>
      </c>
    </row>
    <row r="535" spans="1:24" s="3" customFormat="1" ht="31.5" hidden="1">
      <c r="A535" s="445" t="s">
        <v>282</v>
      </c>
      <c r="B535" s="446" t="s">
        <v>1</v>
      </c>
      <c r="C535" s="446"/>
      <c r="D535" s="419" t="s">
        <v>266</v>
      </c>
      <c r="E535" s="100">
        <f t="shared" si="65"/>
        <v>1538731</v>
      </c>
      <c r="F535" s="100">
        <f t="shared" si="59"/>
        <v>1028240</v>
      </c>
      <c r="G535" s="101">
        <f>SUM(G536:G540)</f>
        <v>0</v>
      </c>
      <c r="H535" s="101">
        <f t="shared" ref="H535:X535" si="72">SUM(H536:H540)</f>
        <v>1028240</v>
      </c>
      <c r="I535" s="101">
        <f t="shared" si="72"/>
        <v>0</v>
      </c>
      <c r="J535" s="101">
        <f t="shared" si="72"/>
        <v>0</v>
      </c>
      <c r="K535" s="101">
        <f t="shared" si="72"/>
        <v>0</v>
      </c>
      <c r="L535" s="100">
        <f t="shared" si="66"/>
        <v>510491</v>
      </c>
      <c r="M535" s="101">
        <f t="shared" si="72"/>
        <v>173853</v>
      </c>
      <c r="N535" s="101">
        <f t="shared" si="72"/>
        <v>92000</v>
      </c>
      <c r="O535" s="101">
        <f t="shared" si="72"/>
        <v>0</v>
      </c>
      <c r="P535" s="101">
        <f t="shared" si="72"/>
        <v>22320</v>
      </c>
      <c r="Q535" s="101">
        <f t="shared" si="72"/>
        <v>49358</v>
      </c>
      <c r="R535" s="101">
        <f t="shared" si="72"/>
        <v>20000</v>
      </c>
      <c r="S535" s="101">
        <f t="shared" si="72"/>
        <v>3040</v>
      </c>
      <c r="T535" s="101">
        <f t="shared" si="72"/>
        <v>47400</v>
      </c>
      <c r="U535" s="101">
        <f t="shared" si="72"/>
        <v>0</v>
      </c>
      <c r="V535" s="101">
        <f t="shared" si="72"/>
        <v>0</v>
      </c>
      <c r="W535" s="101">
        <f t="shared" si="72"/>
        <v>27520</v>
      </c>
      <c r="X535" s="101">
        <f t="shared" si="72"/>
        <v>75000</v>
      </c>
    </row>
    <row r="536" spans="1:24" s="1" customFormat="1" ht="22.5" hidden="1">
      <c r="A536" s="48">
        <v>1</v>
      </c>
      <c r="B536" s="307" t="s">
        <v>1</v>
      </c>
      <c r="C536" s="307"/>
      <c r="D536" s="50" t="s">
        <v>544</v>
      </c>
      <c r="E536" s="430">
        <f t="shared" si="65"/>
        <v>284980</v>
      </c>
      <c r="F536" s="430">
        <f t="shared" ref="F536:F549" si="73">SUM(G536:K536)</f>
        <v>167200</v>
      </c>
      <c r="G536" s="53"/>
      <c r="H536" s="53">
        <v>167200</v>
      </c>
      <c r="I536" s="53"/>
      <c r="J536" s="53"/>
      <c r="K536" s="53"/>
      <c r="L536" s="430">
        <f t="shared" si="66"/>
        <v>117780</v>
      </c>
      <c r="M536" s="53"/>
      <c r="N536" s="53">
        <v>30000</v>
      </c>
      <c r="O536" s="53"/>
      <c r="P536" s="53"/>
      <c r="Q536" s="53">
        <v>2180</v>
      </c>
      <c r="R536" s="53">
        <v>20000</v>
      </c>
      <c r="S536" s="53"/>
      <c r="T536" s="53"/>
      <c r="U536" s="53"/>
      <c r="V536" s="53"/>
      <c r="W536" s="53">
        <v>25600</v>
      </c>
      <c r="X536" s="53">
        <v>40000</v>
      </c>
    </row>
    <row r="537" spans="1:24" s="1" customFormat="1" ht="45" hidden="1">
      <c r="A537" s="48">
        <v>2</v>
      </c>
      <c r="B537" s="307" t="s">
        <v>1</v>
      </c>
      <c r="C537" s="307"/>
      <c r="D537" s="50" t="s">
        <v>545</v>
      </c>
      <c r="E537" s="430">
        <f t="shared" si="65"/>
        <v>653675</v>
      </c>
      <c r="F537" s="430">
        <f t="shared" si="73"/>
        <v>350800</v>
      </c>
      <c r="G537" s="53"/>
      <c r="H537" s="53">
        <v>350800</v>
      </c>
      <c r="I537" s="53"/>
      <c r="J537" s="53"/>
      <c r="K537" s="53"/>
      <c r="L537" s="430">
        <f t="shared" si="66"/>
        <v>302875</v>
      </c>
      <c r="M537" s="53">
        <f>53680+106020+14153</f>
        <v>173853</v>
      </c>
      <c r="N537" s="53">
        <v>30000</v>
      </c>
      <c r="O537" s="53"/>
      <c r="P537" s="53"/>
      <c r="Q537" s="53">
        <v>40582</v>
      </c>
      <c r="R537" s="53"/>
      <c r="S537" s="53">
        <v>3040</v>
      </c>
      <c r="T537" s="53">
        <v>45400</v>
      </c>
      <c r="U537" s="53"/>
      <c r="V537" s="53"/>
      <c r="W537" s="53"/>
      <c r="X537" s="53">
        <v>10000</v>
      </c>
    </row>
    <row r="538" spans="1:24" s="1" customFormat="1" ht="22.5" hidden="1">
      <c r="A538" s="48">
        <v>3</v>
      </c>
      <c r="B538" s="307" t="s">
        <v>1</v>
      </c>
      <c r="C538" s="307"/>
      <c r="D538" s="50" t="s">
        <v>546</v>
      </c>
      <c r="E538" s="430">
        <f t="shared" si="65"/>
        <v>63240</v>
      </c>
      <c r="F538" s="430">
        <f t="shared" si="73"/>
        <v>61240</v>
      </c>
      <c r="G538" s="53"/>
      <c r="H538" s="53">
        <v>61240</v>
      </c>
      <c r="I538" s="53"/>
      <c r="J538" s="53"/>
      <c r="K538" s="53"/>
      <c r="L538" s="430">
        <f t="shared" si="66"/>
        <v>2000</v>
      </c>
      <c r="M538" s="53"/>
      <c r="N538" s="53">
        <v>2000</v>
      </c>
      <c r="O538" s="53"/>
      <c r="P538" s="53"/>
      <c r="Q538" s="53"/>
      <c r="R538" s="53"/>
      <c r="S538" s="53"/>
      <c r="T538" s="53"/>
      <c r="U538" s="53"/>
      <c r="V538" s="53"/>
      <c r="W538" s="53"/>
      <c r="X538" s="53"/>
    </row>
    <row r="539" spans="1:24" s="1" customFormat="1" ht="33.75" hidden="1">
      <c r="A539" s="48">
        <v>4</v>
      </c>
      <c r="B539" s="307" t="s">
        <v>1</v>
      </c>
      <c r="C539" s="307"/>
      <c r="D539" s="50" t="s">
        <v>547</v>
      </c>
      <c r="E539" s="430">
        <f t="shared" si="65"/>
        <v>451460</v>
      </c>
      <c r="F539" s="430">
        <f t="shared" si="73"/>
        <v>425000</v>
      </c>
      <c r="G539" s="53"/>
      <c r="H539" s="53">
        <v>425000</v>
      </c>
      <c r="I539" s="53"/>
      <c r="J539" s="53"/>
      <c r="K539" s="53"/>
      <c r="L539" s="430">
        <f t="shared" si="66"/>
        <v>26460</v>
      </c>
      <c r="M539" s="53"/>
      <c r="N539" s="53">
        <v>5000</v>
      </c>
      <c r="O539" s="53"/>
      <c r="P539" s="53"/>
      <c r="Q539" s="53">
        <v>500</v>
      </c>
      <c r="R539" s="53"/>
      <c r="S539" s="53"/>
      <c r="T539" s="53"/>
      <c r="U539" s="53"/>
      <c r="V539" s="53"/>
      <c r="W539" s="53">
        <v>960</v>
      </c>
      <c r="X539" s="53">
        <v>20000</v>
      </c>
    </row>
    <row r="540" spans="1:24" s="1" customFormat="1" ht="22.5" hidden="1">
      <c r="A540" s="48">
        <v>5</v>
      </c>
      <c r="B540" s="307" t="s">
        <v>1</v>
      </c>
      <c r="C540" s="307"/>
      <c r="D540" s="50" t="s">
        <v>548</v>
      </c>
      <c r="E540" s="430">
        <f t="shared" si="65"/>
        <v>85376</v>
      </c>
      <c r="F540" s="430">
        <f t="shared" si="73"/>
        <v>24000</v>
      </c>
      <c r="G540" s="53"/>
      <c r="H540" s="53">
        <v>24000</v>
      </c>
      <c r="I540" s="53"/>
      <c r="J540" s="53"/>
      <c r="K540" s="53"/>
      <c r="L540" s="430">
        <f t="shared" si="66"/>
        <v>61376</v>
      </c>
      <c r="M540" s="53"/>
      <c r="N540" s="53">
        <v>25000</v>
      </c>
      <c r="O540" s="53"/>
      <c r="P540" s="53">
        <v>22320</v>
      </c>
      <c r="Q540" s="53">
        <v>6096</v>
      </c>
      <c r="R540" s="53"/>
      <c r="S540" s="53"/>
      <c r="T540" s="53">
        <v>2000</v>
      </c>
      <c r="U540" s="53"/>
      <c r="V540" s="53"/>
      <c r="W540" s="53">
        <v>960</v>
      </c>
      <c r="X540" s="53">
        <v>5000</v>
      </c>
    </row>
    <row r="541" spans="1:24" s="429" customFormat="1" ht="33.75" hidden="1">
      <c r="A541" s="447" t="s">
        <v>283</v>
      </c>
      <c r="B541" s="448" t="s">
        <v>2</v>
      </c>
      <c r="C541" s="448"/>
      <c r="D541" s="436" t="s">
        <v>267</v>
      </c>
      <c r="E541" s="100">
        <f t="shared" si="65"/>
        <v>452298</v>
      </c>
      <c r="F541" s="100">
        <f t="shared" si="73"/>
        <v>269740</v>
      </c>
      <c r="G541" s="437">
        <f>SUM(G542:G543)</f>
        <v>0</v>
      </c>
      <c r="H541" s="437">
        <f t="shared" ref="H541:X541" si="74">SUM(H542:H543)</f>
        <v>0</v>
      </c>
      <c r="I541" s="437">
        <f t="shared" si="74"/>
        <v>92540</v>
      </c>
      <c r="J541" s="437">
        <f t="shared" si="74"/>
        <v>0</v>
      </c>
      <c r="K541" s="437">
        <f t="shared" si="74"/>
        <v>177200</v>
      </c>
      <c r="L541" s="100">
        <f t="shared" si="66"/>
        <v>182558</v>
      </c>
      <c r="M541" s="437">
        <f t="shared" si="74"/>
        <v>12480</v>
      </c>
      <c r="N541" s="437">
        <f t="shared" si="74"/>
        <v>4440</v>
      </c>
      <c r="O541" s="437">
        <f t="shared" si="74"/>
        <v>6876</v>
      </c>
      <c r="P541" s="437">
        <f t="shared" si="74"/>
        <v>37630</v>
      </c>
      <c r="Q541" s="437">
        <f t="shared" si="74"/>
        <v>18596</v>
      </c>
      <c r="R541" s="437">
        <f t="shared" si="74"/>
        <v>15280</v>
      </c>
      <c r="S541" s="437">
        <f t="shared" si="74"/>
        <v>19190</v>
      </c>
      <c r="T541" s="437">
        <f t="shared" si="74"/>
        <v>14310</v>
      </c>
      <c r="U541" s="437">
        <f t="shared" si="74"/>
        <v>21336</v>
      </c>
      <c r="V541" s="437">
        <f t="shared" si="74"/>
        <v>10250</v>
      </c>
      <c r="W541" s="437">
        <f t="shared" si="74"/>
        <v>7080</v>
      </c>
      <c r="X541" s="437">
        <f t="shared" si="74"/>
        <v>15090</v>
      </c>
    </row>
    <row r="542" spans="1:24" s="1" customFormat="1" ht="33.75" hidden="1">
      <c r="A542" s="449">
        <v>1</v>
      </c>
      <c r="B542" s="450" t="s">
        <v>2</v>
      </c>
      <c r="C542" s="450"/>
      <c r="D542" s="451" t="s">
        <v>303</v>
      </c>
      <c r="E542" s="430">
        <f t="shared" si="65"/>
        <v>208790</v>
      </c>
      <c r="F542" s="430">
        <f t="shared" si="73"/>
        <v>92540</v>
      </c>
      <c r="G542" s="432"/>
      <c r="H542" s="432"/>
      <c r="I542" s="432">
        <v>92540</v>
      </c>
      <c r="J542" s="432"/>
      <c r="K542" s="432"/>
      <c r="L542" s="430">
        <f t="shared" si="66"/>
        <v>116250</v>
      </c>
      <c r="M542" s="452">
        <v>9600</v>
      </c>
      <c r="N542" s="453">
        <v>1440</v>
      </c>
      <c r="O542" s="452">
        <v>5160</v>
      </c>
      <c r="P542" s="453">
        <f>13230+2400</f>
        <v>15630</v>
      </c>
      <c r="Q542" s="453">
        <v>11860</v>
      </c>
      <c r="R542" s="453">
        <v>7440</v>
      </c>
      <c r="S542" s="453">
        <v>17670</v>
      </c>
      <c r="T542" s="453">
        <v>14310</v>
      </c>
      <c r="U542" s="453">
        <v>11360</v>
      </c>
      <c r="V542" s="453">
        <v>8370</v>
      </c>
      <c r="W542" s="453">
        <v>5040</v>
      </c>
      <c r="X542" s="453">
        <v>8370</v>
      </c>
    </row>
    <row r="543" spans="1:24" s="458" customFormat="1" ht="22.5" hidden="1">
      <c r="A543" s="454">
        <v>2</v>
      </c>
      <c r="B543" s="450" t="s">
        <v>2</v>
      </c>
      <c r="C543" s="450"/>
      <c r="D543" s="455" t="s">
        <v>295</v>
      </c>
      <c r="E543" s="430">
        <f t="shared" si="65"/>
        <v>243508</v>
      </c>
      <c r="F543" s="430">
        <f t="shared" si="73"/>
        <v>177200</v>
      </c>
      <c r="G543" s="456"/>
      <c r="H543" s="456"/>
      <c r="I543" s="456"/>
      <c r="J543" s="456"/>
      <c r="K543" s="59">
        <v>177200</v>
      </c>
      <c r="L543" s="430">
        <f t="shared" si="66"/>
        <v>66308</v>
      </c>
      <c r="M543" s="59">
        <v>2880</v>
      </c>
      <c r="N543" s="59">
        <v>3000</v>
      </c>
      <c r="O543" s="59">
        <v>1716</v>
      </c>
      <c r="P543" s="457">
        <v>22000</v>
      </c>
      <c r="Q543" s="59">
        <v>6736</v>
      </c>
      <c r="R543" s="59">
        <f>3280+4560</f>
        <v>7840</v>
      </c>
      <c r="S543" s="59">
        <v>1520</v>
      </c>
      <c r="T543" s="59"/>
      <c r="U543" s="59">
        <v>9976</v>
      </c>
      <c r="V543" s="59">
        <v>1880</v>
      </c>
      <c r="W543" s="59">
        <v>2040</v>
      </c>
      <c r="X543" s="59">
        <v>6720</v>
      </c>
    </row>
    <row r="544" spans="1:24" s="429" customFormat="1" ht="56.25" hidden="1">
      <c r="A544" s="447" t="s">
        <v>284</v>
      </c>
      <c r="B544" s="448" t="s">
        <v>582</v>
      </c>
      <c r="C544" s="448"/>
      <c r="D544" s="436" t="s">
        <v>279</v>
      </c>
      <c r="E544" s="100">
        <f t="shared" si="65"/>
        <v>163280</v>
      </c>
      <c r="F544" s="100">
        <f t="shared" si="73"/>
        <v>163280</v>
      </c>
      <c r="G544" s="437">
        <f>SUM(G545:G549)</f>
        <v>0</v>
      </c>
      <c r="H544" s="437">
        <f t="shared" ref="H544:X544" si="75">SUM(H545:H549)</f>
        <v>0</v>
      </c>
      <c r="I544" s="437">
        <f t="shared" si="75"/>
        <v>0</v>
      </c>
      <c r="J544" s="437">
        <f t="shared" si="75"/>
        <v>163280</v>
      </c>
      <c r="K544" s="437">
        <f t="shared" si="75"/>
        <v>0</v>
      </c>
      <c r="L544" s="100">
        <f t="shared" si="66"/>
        <v>0</v>
      </c>
      <c r="M544" s="437">
        <f t="shared" si="75"/>
        <v>0</v>
      </c>
      <c r="N544" s="437">
        <f t="shared" si="75"/>
        <v>0</v>
      </c>
      <c r="O544" s="437">
        <f t="shared" si="75"/>
        <v>0</v>
      </c>
      <c r="P544" s="437">
        <f t="shared" si="75"/>
        <v>0</v>
      </c>
      <c r="Q544" s="437">
        <f t="shared" si="75"/>
        <v>0</v>
      </c>
      <c r="R544" s="437">
        <f t="shared" si="75"/>
        <v>0</v>
      </c>
      <c r="S544" s="437">
        <f t="shared" si="75"/>
        <v>0</v>
      </c>
      <c r="T544" s="437">
        <f t="shared" si="75"/>
        <v>0</v>
      </c>
      <c r="U544" s="437">
        <f t="shared" si="75"/>
        <v>0</v>
      </c>
      <c r="V544" s="437">
        <f t="shared" si="75"/>
        <v>0</v>
      </c>
      <c r="W544" s="437">
        <f t="shared" si="75"/>
        <v>0</v>
      </c>
      <c r="X544" s="437">
        <f t="shared" si="75"/>
        <v>0</v>
      </c>
    </row>
    <row r="545" spans="1:24" s="1" customFormat="1" ht="22.5" hidden="1">
      <c r="A545" s="459"/>
      <c r="B545" s="450" t="s">
        <v>582</v>
      </c>
      <c r="C545" s="450"/>
      <c r="D545" s="460" t="s">
        <v>225</v>
      </c>
      <c r="E545" s="430">
        <f t="shared" si="65"/>
        <v>40000</v>
      </c>
      <c r="F545" s="430">
        <f t="shared" si="73"/>
        <v>40000</v>
      </c>
      <c r="G545" s="53"/>
      <c r="H545" s="53"/>
      <c r="I545" s="53"/>
      <c r="J545" s="53">
        <v>40000</v>
      </c>
      <c r="K545" s="53"/>
      <c r="L545" s="430">
        <f t="shared" si="66"/>
        <v>0</v>
      </c>
      <c r="M545" s="53"/>
      <c r="N545" s="53"/>
      <c r="O545" s="53"/>
      <c r="P545" s="53"/>
      <c r="Q545" s="53"/>
      <c r="R545" s="53"/>
      <c r="S545" s="53"/>
      <c r="T545" s="53"/>
      <c r="U545" s="53"/>
      <c r="V545" s="53"/>
      <c r="W545" s="53"/>
      <c r="X545" s="53"/>
    </row>
    <row r="546" spans="1:24" s="1" customFormat="1" ht="22.5" hidden="1">
      <c r="A546" s="459">
        <v>1</v>
      </c>
      <c r="B546" s="450" t="s">
        <v>582</v>
      </c>
      <c r="C546" s="450"/>
      <c r="D546" s="460" t="s">
        <v>576</v>
      </c>
      <c r="E546" s="430">
        <f t="shared" si="65"/>
        <v>60000</v>
      </c>
      <c r="F546" s="430">
        <f t="shared" si="73"/>
        <v>60000</v>
      </c>
      <c r="G546" s="461"/>
      <c r="H546" s="57"/>
      <c r="I546" s="57"/>
      <c r="J546" s="57">
        <v>60000</v>
      </c>
      <c r="K546" s="57"/>
      <c r="L546" s="430">
        <f t="shared" si="66"/>
        <v>0</v>
      </c>
      <c r="M546" s="55"/>
      <c r="N546" s="462"/>
      <c r="O546" s="463"/>
      <c r="P546" s="462"/>
      <c r="Q546" s="60"/>
      <c r="R546" s="60"/>
      <c r="S546" s="464"/>
      <c r="T546" s="60"/>
      <c r="U546" s="57"/>
      <c r="V546" s="60"/>
      <c r="W546" s="60"/>
      <c r="X546" s="465"/>
    </row>
    <row r="547" spans="1:24" s="1" customFormat="1" ht="33.75" hidden="1">
      <c r="A547" s="459">
        <v>2</v>
      </c>
      <c r="B547" s="450" t="s">
        <v>582</v>
      </c>
      <c r="C547" s="450"/>
      <c r="D547" s="460" t="s">
        <v>229</v>
      </c>
      <c r="E547" s="430">
        <f t="shared" si="65"/>
        <v>50000</v>
      </c>
      <c r="F547" s="430">
        <f t="shared" si="73"/>
        <v>50000</v>
      </c>
      <c r="G547" s="461"/>
      <c r="H547" s="57"/>
      <c r="I547" s="57"/>
      <c r="J547" s="57">
        <v>50000</v>
      </c>
      <c r="K547" s="57"/>
      <c r="L547" s="430">
        <f t="shared" si="66"/>
        <v>0</v>
      </c>
      <c r="M547" s="55"/>
      <c r="N547" s="462"/>
      <c r="O547" s="463"/>
      <c r="P547" s="462"/>
      <c r="Q547" s="60"/>
      <c r="R547" s="60"/>
      <c r="S547" s="464"/>
      <c r="T547" s="60"/>
      <c r="U547" s="57"/>
      <c r="V547" s="60"/>
      <c r="W547" s="60"/>
      <c r="X547" s="465"/>
    </row>
    <row r="548" spans="1:24" s="1" customFormat="1" ht="33.75" hidden="1">
      <c r="A548" s="459">
        <v>3</v>
      </c>
      <c r="B548" s="450" t="s">
        <v>582</v>
      </c>
      <c r="C548" s="450"/>
      <c r="D548" s="460" t="s">
        <v>285</v>
      </c>
      <c r="E548" s="430">
        <f t="shared" si="65"/>
        <v>5000</v>
      </c>
      <c r="F548" s="430">
        <f t="shared" si="73"/>
        <v>5000</v>
      </c>
      <c r="G548" s="466"/>
      <c r="H548" s="466"/>
      <c r="I548" s="466"/>
      <c r="J548" s="466">
        <v>5000</v>
      </c>
      <c r="K548" s="466">
        <v>0</v>
      </c>
      <c r="L548" s="430">
        <f t="shared" si="66"/>
        <v>0</v>
      </c>
      <c r="M548" s="466">
        <v>0</v>
      </c>
      <c r="N548" s="466">
        <v>0</v>
      </c>
      <c r="O548" s="466">
        <v>0</v>
      </c>
      <c r="P548" s="466">
        <v>0</v>
      </c>
      <c r="Q548" s="466">
        <v>0</v>
      </c>
      <c r="R548" s="466">
        <v>0</v>
      </c>
      <c r="S548" s="466">
        <v>0</v>
      </c>
      <c r="T548" s="466">
        <v>0</v>
      </c>
      <c r="U548" s="466">
        <v>0</v>
      </c>
      <c r="V548" s="466">
        <v>0</v>
      </c>
      <c r="W548" s="466">
        <v>0</v>
      </c>
      <c r="X548" s="466">
        <v>0</v>
      </c>
    </row>
    <row r="549" spans="1:24" s="470" customFormat="1" ht="56.25" hidden="1">
      <c r="A549" s="467">
        <v>4</v>
      </c>
      <c r="B549" s="450" t="s">
        <v>582</v>
      </c>
      <c r="C549" s="450"/>
      <c r="D549" s="468" t="s">
        <v>577</v>
      </c>
      <c r="E549" s="430">
        <f t="shared" si="65"/>
        <v>8280</v>
      </c>
      <c r="F549" s="430">
        <f t="shared" si="73"/>
        <v>8280</v>
      </c>
      <c r="G549" s="469"/>
      <c r="H549" s="469"/>
      <c r="I549" s="469"/>
      <c r="J549" s="469">
        <v>8280</v>
      </c>
      <c r="K549" s="469"/>
      <c r="L549" s="430">
        <f t="shared" si="66"/>
        <v>0</v>
      </c>
      <c r="M549" s="469"/>
      <c r="N549" s="469"/>
      <c r="O549" s="469"/>
      <c r="P549" s="469"/>
      <c r="Q549" s="469"/>
      <c r="R549" s="469"/>
      <c r="S549" s="469"/>
      <c r="T549" s="469"/>
      <c r="U549" s="469"/>
      <c r="V549" s="469"/>
      <c r="W549" s="469"/>
      <c r="X549" s="469"/>
    </row>
    <row r="550" spans="1:24" s="541" customFormat="1">
      <c r="A550" s="467"/>
      <c r="B550" s="471"/>
      <c r="C550" s="471"/>
      <c r="D550" s="468"/>
      <c r="E550" s="472"/>
      <c r="F550" s="472"/>
      <c r="G550" s="540"/>
      <c r="H550" s="540"/>
      <c r="I550" s="540"/>
      <c r="J550" s="469"/>
      <c r="K550" s="540"/>
      <c r="L550" s="472"/>
      <c r="M550" s="540"/>
      <c r="N550" s="540"/>
      <c r="O550" s="540"/>
      <c r="P550" s="540"/>
      <c r="Q550" s="540"/>
      <c r="R550" s="540"/>
      <c r="S550" s="540"/>
      <c r="T550" s="540"/>
      <c r="U550" s="540"/>
      <c r="V550" s="540"/>
      <c r="W550" s="540"/>
      <c r="X550" s="540"/>
    </row>
    <row r="551" spans="1:24" s="541" customFormat="1">
      <c r="A551" s="546"/>
      <c r="B551" s="547"/>
      <c r="C551" s="547"/>
      <c r="D551" s="548"/>
      <c r="E551" s="549"/>
      <c r="F551" s="549"/>
      <c r="G551" s="550"/>
      <c r="H551" s="550"/>
      <c r="I551" s="550"/>
      <c r="J551" s="551"/>
      <c r="K551" s="550"/>
      <c r="L551" s="549"/>
      <c r="M551" s="550"/>
      <c r="N551" s="550"/>
      <c r="O551" s="550"/>
      <c r="P551" s="550"/>
      <c r="Q551" s="550"/>
      <c r="R551" s="550"/>
      <c r="S551" s="1980" t="s">
        <v>594</v>
      </c>
      <c r="T551" s="1980"/>
      <c r="U551" s="1980"/>
      <c r="V551" s="1980"/>
      <c r="W551" s="1980"/>
      <c r="X551" s="1980"/>
    </row>
    <row r="553" spans="1:24">
      <c r="A553" s="2"/>
      <c r="B553" s="2"/>
      <c r="C553" s="2"/>
      <c r="D553" s="1978" t="s">
        <v>534</v>
      </c>
      <c r="E553" s="1978"/>
      <c r="F553" s="1978"/>
      <c r="G553" s="1978"/>
      <c r="M553" s="1979" t="s">
        <v>535</v>
      </c>
      <c r="N553" s="1979"/>
      <c r="O553" s="1979"/>
      <c r="P553" s="1979"/>
      <c r="Q553" s="1979"/>
      <c r="R553" s="1979"/>
      <c r="T553" s="1979" t="s">
        <v>536</v>
      </c>
      <c r="U553" s="1979"/>
      <c r="V553" s="1979"/>
      <c r="W553" s="1979"/>
    </row>
    <row r="554" spans="1:24">
      <c r="A554" s="2"/>
      <c r="B554" s="2"/>
      <c r="C554" s="2"/>
      <c r="O554" s="1979"/>
      <c r="P554" s="1979"/>
      <c r="Q554" s="1979"/>
      <c r="R554" s="1979"/>
      <c r="S554" s="1979"/>
      <c r="T554" s="1979"/>
      <c r="U554" s="1979"/>
      <c r="V554" s="1979"/>
      <c r="W554" s="1979"/>
      <c r="X554" s="1979"/>
    </row>
    <row r="560" spans="1:24">
      <c r="D560" s="1978" t="s">
        <v>591</v>
      </c>
      <c r="E560" s="1978"/>
      <c r="F560" s="1978"/>
      <c r="G560" s="1978"/>
      <c r="M560" s="1979" t="s">
        <v>592</v>
      </c>
      <c r="N560" s="1979"/>
      <c r="O560" s="1979"/>
      <c r="P560" s="1979"/>
      <c r="Q560" s="1979"/>
      <c r="R560" s="1979"/>
      <c r="T560" s="1979" t="s">
        <v>593</v>
      </c>
      <c r="U560" s="1979"/>
      <c r="V560" s="1979"/>
      <c r="W560" s="1979"/>
    </row>
    <row r="561" spans="1:18">
      <c r="A561" s="2"/>
      <c r="B561" s="2"/>
      <c r="C561" s="2"/>
      <c r="M561" s="1979"/>
      <c r="N561" s="1979"/>
      <c r="O561" s="1979"/>
      <c r="P561" s="1979"/>
      <c r="Q561" s="1979"/>
      <c r="R561" s="1979"/>
    </row>
  </sheetData>
  <autoFilter ref="A9:WKW549">
    <filterColumn colId="0">
      <filters>
        <filter val="10a2"/>
      </filters>
    </filterColumn>
  </autoFilter>
  <mergeCells count="19">
    <mergeCell ref="A2:X2"/>
    <mergeCell ref="U3:X3"/>
    <mergeCell ref="A4:A7"/>
    <mergeCell ref="D4:D7"/>
    <mergeCell ref="E4:X4"/>
    <mergeCell ref="E5:E8"/>
    <mergeCell ref="F5:K6"/>
    <mergeCell ref="L5:X6"/>
    <mergeCell ref="D560:G560"/>
    <mergeCell ref="M560:R560"/>
    <mergeCell ref="T560:W560"/>
    <mergeCell ref="M561:R561"/>
    <mergeCell ref="S551:X551"/>
    <mergeCell ref="D553:G553"/>
    <mergeCell ref="M553:R553"/>
    <mergeCell ref="T553:W553"/>
    <mergeCell ref="O554:Q554"/>
    <mergeCell ref="R554:T554"/>
    <mergeCell ref="U554:X554"/>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E579"/>
  <sheetViews>
    <sheetView workbookViewId="0">
      <selection activeCell="C561" sqref="C561"/>
    </sheetView>
  </sheetViews>
  <sheetFormatPr defaultColWidth="9" defaultRowHeight="11.25" outlineLevelCol="1"/>
  <cols>
    <col min="1" max="1" width="4.5703125" style="71" bestFit="1" customWidth="1"/>
    <col min="2" max="2" width="7.42578125" style="71" bestFit="1" customWidth="1"/>
    <col min="3" max="3" width="38.42578125" style="34" customWidth="1"/>
    <col min="4" max="4" width="16.28515625" style="72" bestFit="1" customWidth="1"/>
    <col min="5" max="5" width="8.7109375" style="72" bestFit="1" customWidth="1"/>
    <col min="6" max="6" width="9" style="72" bestFit="1" customWidth="1" outlineLevel="1"/>
    <col min="7" max="7" width="7.85546875" style="72" customWidth="1" outlineLevel="1"/>
    <col min="8" max="8" width="7.85546875" style="72" bestFit="1" customWidth="1" outlineLevel="1"/>
    <col min="9" max="9" width="7.7109375" style="72" bestFit="1" customWidth="1" outlineLevel="1"/>
    <col min="10" max="10" width="7.140625" style="72" bestFit="1" customWidth="1" outlineLevel="1"/>
    <col min="11" max="11" width="8.7109375" style="72" bestFit="1" customWidth="1"/>
    <col min="12" max="12" width="8.7109375" style="72" customWidth="1" outlineLevel="1"/>
    <col min="13" max="15" width="7.85546875" style="72" bestFit="1" customWidth="1" outlineLevel="1"/>
    <col min="16" max="16" width="7.85546875" style="72" customWidth="1" outlineLevel="1"/>
    <col min="17" max="17" width="9.5703125" style="72" bestFit="1" customWidth="1" outlineLevel="1"/>
    <col min="18" max="19" width="7.85546875" style="72" bestFit="1" customWidth="1" outlineLevel="1"/>
    <col min="20" max="21" width="8" style="72" bestFit="1" customWidth="1" outlineLevel="1"/>
    <col min="22" max="23" width="7.85546875" style="72" bestFit="1" customWidth="1" outlineLevel="1"/>
    <col min="24" max="178" width="9.85546875" style="2" customWidth="1"/>
    <col min="179" max="220" width="9" style="2"/>
    <col min="221" max="221" width="5" style="2" customWidth="1"/>
    <col min="222" max="222" width="34.42578125" style="2" customWidth="1"/>
    <col min="223" max="223" width="10.7109375" style="2" customWidth="1"/>
    <col min="224" max="224" width="9.28515625" style="2" customWidth="1"/>
    <col min="225" max="225" width="10.42578125" style="2" customWidth="1"/>
    <col min="226" max="231" width="9.28515625" style="2" customWidth="1"/>
    <col min="232" max="232" width="8.28515625" style="2" customWidth="1"/>
    <col min="233" max="240" width="9.28515625" style="2" customWidth="1"/>
    <col min="241" max="434" width="9.85546875" style="2" customWidth="1"/>
    <col min="435" max="476" width="9" style="2"/>
    <col min="477" max="477" width="5" style="2" customWidth="1"/>
    <col min="478" max="478" width="34.42578125" style="2" customWidth="1"/>
    <col min="479" max="479" width="10.7109375" style="2" customWidth="1"/>
    <col min="480" max="480" width="9.28515625" style="2" customWidth="1"/>
    <col min="481" max="481" width="10.42578125" style="2" customWidth="1"/>
    <col min="482" max="487" width="9.28515625" style="2" customWidth="1"/>
    <col min="488" max="488" width="8.28515625" style="2" customWidth="1"/>
    <col min="489" max="496" width="9.28515625" style="2" customWidth="1"/>
    <col min="497" max="690" width="9.85546875" style="2" customWidth="1"/>
    <col min="691" max="732" width="9" style="2"/>
    <col min="733" max="733" width="5" style="2" customWidth="1"/>
    <col min="734" max="734" width="34.42578125" style="2" customWidth="1"/>
    <col min="735" max="735" width="10.7109375" style="2" customWidth="1"/>
    <col min="736" max="736" width="9.28515625" style="2" customWidth="1"/>
    <col min="737" max="737" width="10.42578125" style="2" customWidth="1"/>
    <col min="738" max="743" width="9.28515625" style="2" customWidth="1"/>
    <col min="744" max="744" width="8.28515625" style="2" customWidth="1"/>
    <col min="745" max="752" width="9.28515625" style="2" customWidth="1"/>
    <col min="753" max="946" width="9.85546875" style="2" customWidth="1"/>
    <col min="947" max="988" width="9" style="2"/>
    <col min="989" max="989" width="5" style="2" customWidth="1"/>
    <col min="990" max="990" width="34.42578125" style="2" customWidth="1"/>
    <col min="991" max="991" width="10.7109375" style="2" customWidth="1"/>
    <col min="992" max="992" width="9.28515625" style="2" customWidth="1"/>
    <col min="993" max="993" width="10.42578125" style="2" customWidth="1"/>
    <col min="994" max="999" width="9.28515625" style="2" customWidth="1"/>
    <col min="1000" max="1000" width="8.28515625" style="2" customWidth="1"/>
    <col min="1001" max="1008" width="9.28515625" style="2" customWidth="1"/>
    <col min="1009" max="1202" width="9.85546875" style="2" customWidth="1"/>
    <col min="1203" max="1244" width="9" style="2"/>
    <col min="1245" max="1245" width="5" style="2" customWidth="1"/>
    <col min="1246" max="1246" width="34.42578125" style="2" customWidth="1"/>
    <col min="1247" max="1247" width="10.7109375" style="2" customWidth="1"/>
    <col min="1248" max="1248" width="9.28515625" style="2" customWidth="1"/>
    <col min="1249" max="1249" width="10.42578125" style="2" customWidth="1"/>
    <col min="1250" max="1255" width="9.28515625" style="2" customWidth="1"/>
    <col min="1256" max="1256" width="8.28515625" style="2" customWidth="1"/>
    <col min="1257" max="1264" width="9.28515625" style="2" customWidth="1"/>
    <col min="1265" max="1458" width="9.85546875" style="2" customWidth="1"/>
    <col min="1459" max="1500" width="9" style="2"/>
    <col min="1501" max="1501" width="5" style="2" customWidth="1"/>
    <col min="1502" max="1502" width="34.42578125" style="2" customWidth="1"/>
    <col min="1503" max="1503" width="10.7109375" style="2" customWidth="1"/>
    <col min="1504" max="1504" width="9.28515625" style="2" customWidth="1"/>
    <col min="1505" max="1505" width="10.42578125" style="2" customWidth="1"/>
    <col min="1506" max="1511" width="9.28515625" style="2" customWidth="1"/>
    <col min="1512" max="1512" width="8.28515625" style="2" customWidth="1"/>
    <col min="1513" max="1520" width="9.28515625" style="2" customWidth="1"/>
    <col min="1521" max="1714" width="9.85546875" style="2" customWidth="1"/>
    <col min="1715" max="1756" width="9" style="2"/>
    <col min="1757" max="1757" width="5" style="2" customWidth="1"/>
    <col min="1758" max="1758" width="34.42578125" style="2" customWidth="1"/>
    <col min="1759" max="1759" width="10.7109375" style="2" customWidth="1"/>
    <col min="1760" max="1760" width="9.28515625" style="2" customWidth="1"/>
    <col min="1761" max="1761" width="10.42578125" style="2" customWidth="1"/>
    <col min="1762" max="1767" width="9.28515625" style="2" customWidth="1"/>
    <col min="1768" max="1768" width="8.28515625" style="2" customWidth="1"/>
    <col min="1769" max="1776" width="9.28515625" style="2" customWidth="1"/>
    <col min="1777" max="1970" width="9.85546875" style="2" customWidth="1"/>
    <col min="1971" max="2012" width="9" style="2"/>
    <col min="2013" max="2013" width="5" style="2" customWidth="1"/>
    <col min="2014" max="2014" width="34.42578125" style="2" customWidth="1"/>
    <col min="2015" max="2015" width="10.7109375" style="2" customWidth="1"/>
    <col min="2016" max="2016" width="9.28515625" style="2" customWidth="1"/>
    <col min="2017" max="2017" width="10.42578125" style="2" customWidth="1"/>
    <col min="2018" max="2023" width="9.28515625" style="2" customWidth="1"/>
    <col min="2024" max="2024" width="8.28515625" style="2" customWidth="1"/>
    <col min="2025" max="2032" width="9.28515625" style="2" customWidth="1"/>
    <col min="2033" max="2226" width="9.85546875" style="2" customWidth="1"/>
    <col min="2227" max="2268" width="9" style="2"/>
    <col min="2269" max="2269" width="5" style="2" customWidth="1"/>
    <col min="2270" max="2270" width="34.42578125" style="2" customWidth="1"/>
    <col min="2271" max="2271" width="10.7109375" style="2" customWidth="1"/>
    <col min="2272" max="2272" width="9.28515625" style="2" customWidth="1"/>
    <col min="2273" max="2273" width="10.42578125" style="2" customWidth="1"/>
    <col min="2274" max="2279" width="9.28515625" style="2" customWidth="1"/>
    <col min="2280" max="2280" width="8.28515625" style="2" customWidth="1"/>
    <col min="2281" max="2288" width="9.28515625" style="2" customWidth="1"/>
    <col min="2289" max="2482" width="9.85546875" style="2" customWidth="1"/>
    <col min="2483" max="2524" width="9" style="2"/>
    <col min="2525" max="2525" width="5" style="2" customWidth="1"/>
    <col min="2526" max="2526" width="34.42578125" style="2" customWidth="1"/>
    <col min="2527" max="2527" width="10.7109375" style="2" customWidth="1"/>
    <col min="2528" max="2528" width="9.28515625" style="2" customWidth="1"/>
    <col min="2529" max="2529" width="10.42578125" style="2" customWidth="1"/>
    <col min="2530" max="2535" width="9.28515625" style="2" customWidth="1"/>
    <col min="2536" max="2536" width="8.28515625" style="2" customWidth="1"/>
    <col min="2537" max="2544" width="9.28515625" style="2" customWidth="1"/>
    <col min="2545" max="2738" width="9.85546875" style="2" customWidth="1"/>
    <col min="2739" max="2780" width="9" style="2"/>
    <col min="2781" max="2781" width="5" style="2" customWidth="1"/>
    <col min="2782" max="2782" width="34.42578125" style="2" customWidth="1"/>
    <col min="2783" max="2783" width="10.7109375" style="2" customWidth="1"/>
    <col min="2784" max="2784" width="9.28515625" style="2" customWidth="1"/>
    <col min="2785" max="2785" width="10.42578125" style="2" customWidth="1"/>
    <col min="2786" max="2791" width="9.28515625" style="2" customWidth="1"/>
    <col min="2792" max="2792" width="8.28515625" style="2" customWidth="1"/>
    <col min="2793" max="2800" width="9.28515625" style="2" customWidth="1"/>
    <col min="2801" max="2994" width="9.85546875" style="2" customWidth="1"/>
    <col min="2995" max="3036" width="9" style="2"/>
    <col min="3037" max="3037" width="5" style="2" customWidth="1"/>
    <col min="3038" max="3038" width="34.42578125" style="2" customWidth="1"/>
    <col min="3039" max="3039" width="10.7109375" style="2" customWidth="1"/>
    <col min="3040" max="3040" width="9.28515625" style="2" customWidth="1"/>
    <col min="3041" max="3041" width="10.42578125" style="2" customWidth="1"/>
    <col min="3042" max="3047" width="9.28515625" style="2" customWidth="1"/>
    <col min="3048" max="3048" width="8.28515625" style="2" customWidth="1"/>
    <col min="3049" max="3056" width="9.28515625" style="2" customWidth="1"/>
    <col min="3057" max="3250" width="9.85546875" style="2" customWidth="1"/>
    <col min="3251" max="3292" width="9" style="2"/>
    <col min="3293" max="3293" width="5" style="2" customWidth="1"/>
    <col min="3294" max="3294" width="34.42578125" style="2" customWidth="1"/>
    <col min="3295" max="3295" width="10.7109375" style="2" customWidth="1"/>
    <col min="3296" max="3296" width="9.28515625" style="2" customWidth="1"/>
    <col min="3297" max="3297" width="10.42578125" style="2" customWidth="1"/>
    <col min="3298" max="3303" width="9.28515625" style="2" customWidth="1"/>
    <col min="3304" max="3304" width="8.28515625" style="2" customWidth="1"/>
    <col min="3305" max="3312" width="9.28515625" style="2" customWidth="1"/>
    <col min="3313" max="3506" width="9.85546875" style="2" customWidth="1"/>
    <col min="3507" max="3548" width="9" style="2"/>
    <col min="3549" max="3549" width="5" style="2" customWidth="1"/>
    <col min="3550" max="3550" width="34.42578125" style="2" customWidth="1"/>
    <col min="3551" max="3551" width="10.7109375" style="2" customWidth="1"/>
    <col min="3552" max="3552" width="9.28515625" style="2" customWidth="1"/>
    <col min="3553" max="3553" width="10.42578125" style="2" customWidth="1"/>
    <col min="3554" max="3559" width="9.28515625" style="2" customWidth="1"/>
    <col min="3560" max="3560" width="8.28515625" style="2" customWidth="1"/>
    <col min="3561" max="3568" width="9.28515625" style="2" customWidth="1"/>
    <col min="3569" max="3762" width="9.85546875" style="2" customWidth="1"/>
    <col min="3763" max="3804" width="9" style="2"/>
    <col min="3805" max="3805" width="5" style="2" customWidth="1"/>
    <col min="3806" max="3806" width="34.42578125" style="2" customWidth="1"/>
    <col min="3807" max="3807" width="10.7109375" style="2" customWidth="1"/>
    <col min="3808" max="3808" width="9.28515625" style="2" customWidth="1"/>
    <col min="3809" max="3809" width="10.42578125" style="2" customWidth="1"/>
    <col min="3810" max="3815" width="9.28515625" style="2" customWidth="1"/>
    <col min="3816" max="3816" width="8.28515625" style="2" customWidth="1"/>
    <col min="3817" max="3824" width="9.28515625" style="2" customWidth="1"/>
    <col min="3825" max="4018" width="9.85546875" style="2" customWidth="1"/>
    <col min="4019" max="4060" width="9" style="2"/>
    <col min="4061" max="4061" width="5" style="2" customWidth="1"/>
    <col min="4062" max="4062" width="34.42578125" style="2" customWidth="1"/>
    <col min="4063" max="4063" width="10.7109375" style="2" customWidth="1"/>
    <col min="4064" max="4064" width="9.28515625" style="2" customWidth="1"/>
    <col min="4065" max="4065" width="10.42578125" style="2" customWidth="1"/>
    <col min="4066" max="4071" width="9.28515625" style="2" customWidth="1"/>
    <col min="4072" max="4072" width="8.28515625" style="2" customWidth="1"/>
    <col min="4073" max="4080" width="9.28515625" style="2" customWidth="1"/>
    <col min="4081" max="4274" width="9.85546875" style="2" customWidth="1"/>
    <col min="4275" max="4316" width="9" style="2"/>
    <col min="4317" max="4317" width="5" style="2" customWidth="1"/>
    <col min="4318" max="4318" width="34.42578125" style="2" customWidth="1"/>
    <col min="4319" max="4319" width="10.7109375" style="2" customWidth="1"/>
    <col min="4320" max="4320" width="9.28515625" style="2" customWidth="1"/>
    <col min="4321" max="4321" width="10.42578125" style="2" customWidth="1"/>
    <col min="4322" max="4327" width="9.28515625" style="2" customWidth="1"/>
    <col min="4328" max="4328" width="8.28515625" style="2" customWidth="1"/>
    <col min="4329" max="4336" width="9.28515625" style="2" customWidth="1"/>
    <col min="4337" max="4530" width="9.85546875" style="2" customWidth="1"/>
    <col min="4531" max="4572" width="9" style="2"/>
    <col min="4573" max="4573" width="5" style="2" customWidth="1"/>
    <col min="4574" max="4574" width="34.42578125" style="2" customWidth="1"/>
    <col min="4575" max="4575" width="10.7109375" style="2" customWidth="1"/>
    <col min="4576" max="4576" width="9.28515625" style="2" customWidth="1"/>
    <col min="4577" max="4577" width="10.42578125" style="2" customWidth="1"/>
    <col min="4578" max="4583" width="9.28515625" style="2" customWidth="1"/>
    <col min="4584" max="4584" width="8.28515625" style="2" customWidth="1"/>
    <col min="4585" max="4592" width="9.28515625" style="2" customWidth="1"/>
    <col min="4593" max="4786" width="9.85546875" style="2" customWidth="1"/>
    <col min="4787" max="4828" width="9" style="2"/>
    <col min="4829" max="4829" width="5" style="2" customWidth="1"/>
    <col min="4830" max="4830" width="34.42578125" style="2" customWidth="1"/>
    <col min="4831" max="4831" width="10.7109375" style="2" customWidth="1"/>
    <col min="4832" max="4832" width="9.28515625" style="2" customWidth="1"/>
    <col min="4833" max="4833" width="10.42578125" style="2" customWidth="1"/>
    <col min="4834" max="4839" width="9.28515625" style="2" customWidth="1"/>
    <col min="4840" max="4840" width="8.28515625" style="2" customWidth="1"/>
    <col min="4841" max="4848" width="9.28515625" style="2" customWidth="1"/>
    <col min="4849" max="5042" width="9.85546875" style="2" customWidth="1"/>
    <col min="5043" max="5084" width="9" style="2"/>
    <col min="5085" max="5085" width="5" style="2" customWidth="1"/>
    <col min="5086" max="5086" width="34.42578125" style="2" customWidth="1"/>
    <col min="5087" max="5087" width="10.7109375" style="2" customWidth="1"/>
    <col min="5088" max="5088" width="9.28515625" style="2" customWidth="1"/>
    <col min="5089" max="5089" width="10.42578125" style="2" customWidth="1"/>
    <col min="5090" max="5095" width="9.28515625" style="2" customWidth="1"/>
    <col min="5096" max="5096" width="8.28515625" style="2" customWidth="1"/>
    <col min="5097" max="5104" width="9.28515625" style="2" customWidth="1"/>
    <col min="5105" max="5298" width="9.85546875" style="2" customWidth="1"/>
    <col min="5299" max="5340" width="9" style="2"/>
    <col min="5341" max="5341" width="5" style="2" customWidth="1"/>
    <col min="5342" max="5342" width="34.42578125" style="2" customWidth="1"/>
    <col min="5343" max="5343" width="10.7109375" style="2" customWidth="1"/>
    <col min="5344" max="5344" width="9.28515625" style="2" customWidth="1"/>
    <col min="5345" max="5345" width="10.42578125" style="2" customWidth="1"/>
    <col min="5346" max="5351" width="9.28515625" style="2" customWidth="1"/>
    <col min="5352" max="5352" width="8.28515625" style="2" customWidth="1"/>
    <col min="5353" max="5360" width="9.28515625" style="2" customWidth="1"/>
    <col min="5361" max="5554" width="9.85546875" style="2" customWidth="1"/>
    <col min="5555" max="5596" width="9" style="2"/>
    <col min="5597" max="5597" width="5" style="2" customWidth="1"/>
    <col min="5598" max="5598" width="34.42578125" style="2" customWidth="1"/>
    <col min="5599" max="5599" width="10.7109375" style="2" customWidth="1"/>
    <col min="5600" max="5600" width="9.28515625" style="2" customWidth="1"/>
    <col min="5601" max="5601" width="10.42578125" style="2" customWidth="1"/>
    <col min="5602" max="5607" width="9.28515625" style="2" customWidth="1"/>
    <col min="5608" max="5608" width="8.28515625" style="2" customWidth="1"/>
    <col min="5609" max="5616" width="9.28515625" style="2" customWidth="1"/>
    <col min="5617" max="5810" width="9.85546875" style="2" customWidth="1"/>
    <col min="5811" max="5852" width="9" style="2"/>
    <col min="5853" max="5853" width="5" style="2" customWidth="1"/>
    <col min="5854" max="5854" width="34.42578125" style="2" customWidth="1"/>
    <col min="5855" max="5855" width="10.7109375" style="2" customWidth="1"/>
    <col min="5856" max="5856" width="9.28515625" style="2" customWidth="1"/>
    <col min="5857" max="5857" width="10.42578125" style="2" customWidth="1"/>
    <col min="5858" max="5863" width="9.28515625" style="2" customWidth="1"/>
    <col min="5864" max="5864" width="8.28515625" style="2" customWidth="1"/>
    <col min="5865" max="5872" width="9.28515625" style="2" customWidth="1"/>
    <col min="5873" max="6066" width="9.85546875" style="2" customWidth="1"/>
    <col min="6067" max="6108" width="9" style="2"/>
    <col min="6109" max="6109" width="5" style="2" customWidth="1"/>
    <col min="6110" max="6110" width="34.42578125" style="2" customWidth="1"/>
    <col min="6111" max="6111" width="10.7109375" style="2" customWidth="1"/>
    <col min="6112" max="6112" width="9.28515625" style="2" customWidth="1"/>
    <col min="6113" max="6113" width="10.42578125" style="2" customWidth="1"/>
    <col min="6114" max="6119" width="9.28515625" style="2" customWidth="1"/>
    <col min="6120" max="6120" width="8.28515625" style="2" customWidth="1"/>
    <col min="6121" max="6128" width="9.28515625" style="2" customWidth="1"/>
    <col min="6129" max="6322" width="9.85546875" style="2" customWidth="1"/>
    <col min="6323" max="6364" width="9" style="2"/>
    <col min="6365" max="6365" width="5" style="2" customWidth="1"/>
    <col min="6366" max="6366" width="34.42578125" style="2" customWidth="1"/>
    <col min="6367" max="6367" width="10.7109375" style="2" customWidth="1"/>
    <col min="6368" max="6368" width="9.28515625" style="2" customWidth="1"/>
    <col min="6369" max="6369" width="10.42578125" style="2" customWidth="1"/>
    <col min="6370" max="6375" width="9.28515625" style="2" customWidth="1"/>
    <col min="6376" max="6376" width="8.28515625" style="2" customWidth="1"/>
    <col min="6377" max="6384" width="9.28515625" style="2" customWidth="1"/>
    <col min="6385" max="6578" width="9.85546875" style="2" customWidth="1"/>
    <col min="6579" max="6620" width="9" style="2"/>
    <col min="6621" max="6621" width="5" style="2" customWidth="1"/>
    <col min="6622" max="6622" width="34.42578125" style="2" customWidth="1"/>
    <col min="6623" max="6623" width="10.7109375" style="2" customWidth="1"/>
    <col min="6624" max="6624" width="9.28515625" style="2" customWidth="1"/>
    <col min="6625" max="6625" width="10.42578125" style="2" customWidth="1"/>
    <col min="6626" max="6631" width="9.28515625" style="2" customWidth="1"/>
    <col min="6632" max="6632" width="8.28515625" style="2" customWidth="1"/>
    <col min="6633" max="6640" width="9.28515625" style="2" customWidth="1"/>
    <col min="6641" max="6834" width="9.85546875" style="2" customWidth="1"/>
    <col min="6835" max="6876" width="9" style="2"/>
    <col min="6877" max="6877" width="5" style="2" customWidth="1"/>
    <col min="6878" max="6878" width="34.42578125" style="2" customWidth="1"/>
    <col min="6879" max="6879" width="10.7109375" style="2" customWidth="1"/>
    <col min="6880" max="6880" width="9.28515625" style="2" customWidth="1"/>
    <col min="6881" max="6881" width="10.42578125" style="2" customWidth="1"/>
    <col min="6882" max="6887" width="9.28515625" style="2" customWidth="1"/>
    <col min="6888" max="6888" width="8.28515625" style="2" customWidth="1"/>
    <col min="6889" max="6896" width="9.28515625" style="2" customWidth="1"/>
    <col min="6897" max="7090" width="9.85546875" style="2" customWidth="1"/>
    <col min="7091" max="7132" width="9" style="2"/>
    <col min="7133" max="7133" width="5" style="2" customWidth="1"/>
    <col min="7134" max="7134" width="34.42578125" style="2" customWidth="1"/>
    <col min="7135" max="7135" width="10.7109375" style="2" customWidth="1"/>
    <col min="7136" max="7136" width="9.28515625" style="2" customWidth="1"/>
    <col min="7137" max="7137" width="10.42578125" style="2" customWidth="1"/>
    <col min="7138" max="7143" width="9.28515625" style="2" customWidth="1"/>
    <col min="7144" max="7144" width="8.28515625" style="2" customWidth="1"/>
    <col min="7145" max="7152" width="9.28515625" style="2" customWidth="1"/>
    <col min="7153" max="7346" width="9.85546875" style="2" customWidth="1"/>
    <col min="7347" max="7388" width="9" style="2"/>
    <col min="7389" max="7389" width="5" style="2" customWidth="1"/>
    <col min="7390" max="7390" width="34.42578125" style="2" customWidth="1"/>
    <col min="7391" max="7391" width="10.7109375" style="2" customWidth="1"/>
    <col min="7392" max="7392" width="9.28515625" style="2" customWidth="1"/>
    <col min="7393" max="7393" width="10.42578125" style="2" customWidth="1"/>
    <col min="7394" max="7399" width="9.28515625" style="2" customWidth="1"/>
    <col min="7400" max="7400" width="8.28515625" style="2" customWidth="1"/>
    <col min="7401" max="7408" width="9.28515625" style="2" customWidth="1"/>
    <col min="7409" max="7602" width="9.85546875" style="2" customWidth="1"/>
    <col min="7603" max="7644" width="9" style="2"/>
    <col min="7645" max="7645" width="5" style="2" customWidth="1"/>
    <col min="7646" max="7646" width="34.42578125" style="2" customWidth="1"/>
    <col min="7647" max="7647" width="10.7109375" style="2" customWidth="1"/>
    <col min="7648" max="7648" width="9.28515625" style="2" customWidth="1"/>
    <col min="7649" max="7649" width="10.42578125" style="2" customWidth="1"/>
    <col min="7650" max="7655" width="9.28515625" style="2" customWidth="1"/>
    <col min="7656" max="7656" width="8.28515625" style="2" customWidth="1"/>
    <col min="7657" max="7664" width="9.28515625" style="2" customWidth="1"/>
    <col min="7665" max="7858" width="9.85546875" style="2" customWidth="1"/>
    <col min="7859" max="7900" width="9" style="2"/>
    <col min="7901" max="7901" width="5" style="2" customWidth="1"/>
    <col min="7902" max="7902" width="34.42578125" style="2" customWidth="1"/>
    <col min="7903" max="7903" width="10.7109375" style="2" customWidth="1"/>
    <col min="7904" max="7904" width="9.28515625" style="2" customWidth="1"/>
    <col min="7905" max="7905" width="10.42578125" style="2" customWidth="1"/>
    <col min="7906" max="7911" width="9.28515625" style="2" customWidth="1"/>
    <col min="7912" max="7912" width="8.28515625" style="2" customWidth="1"/>
    <col min="7913" max="7920" width="9.28515625" style="2" customWidth="1"/>
    <col min="7921" max="8114" width="9.85546875" style="2" customWidth="1"/>
    <col min="8115" max="8156" width="9" style="2"/>
    <col min="8157" max="8157" width="5" style="2" customWidth="1"/>
    <col min="8158" max="8158" width="34.42578125" style="2" customWidth="1"/>
    <col min="8159" max="8159" width="10.7109375" style="2" customWidth="1"/>
    <col min="8160" max="8160" width="9.28515625" style="2" customWidth="1"/>
    <col min="8161" max="8161" width="10.42578125" style="2" customWidth="1"/>
    <col min="8162" max="8167" width="9.28515625" style="2" customWidth="1"/>
    <col min="8168" max="8168" width="8.28515625" style="2" customWidth="1"/>
    <col min="8169" max="8176" width="9.28515625" style="2" customWidth="1"/>
    <col min="8177" max="8370" width="9.85546875" style="2" customWidth="1"/>
    <col min="8371" max="8412" width="9" style="2"/>
    <col min="8413" max="8413" width="5" style="2" customWidth="1"/>
    <col min="8414" max="8414" width="34.42578125" style="2" customWidth="1"/>
    <col min="8415" max="8415" width="10.7109375" style="2" customWidth="1"/>
    <col min="8416" max="8416" width="9.28515625" style="2" customWidth="1"/>
    <col min="8417" max="8417" width="10.42578125" style="2" customWidth="1"/>
    <col min="8418" max="8423" width="9.28515625" style="2" customWidth="1"/>
    <col min="8424" max="8424" width="8.28515625" style="2" customWidth="1"/>
    <col min="8425" max="8432" width="9.28515625" style="2" customWidth="1"/>
    <col min="8433" max="8626" width="9.85546875" style="2" customWidth="1"/>
    <col min="8627" max="8668" width="9" style="2"/>
    <col min="8669" max="8669" width="5" style="2" customWidth="1"/>
    <col min="8670" max="8670" width="34.42578125" style="2" customWidth="1"/>
    <col min="8671" max="8671" width="10.7109375" style="2" customWidth="1"/>
    <col min="8672" max="8672" width="9.28515625" style="2" customWidth="1"/>
    <col min="8673" max="8673" width="10.42578125" style="2" customWidth="1"/>
    <col min="8674" max="8679" width="9.28515625" style="2" customWidth="1"/>
    <col min="8680" max="8680" width="8.28515625" style="2" customWidth="1"/>
    <col min="8681" max="8688" width="9.28515625" style="2" customWidth="1"/>
    <col min="8689" max="8882" width="9.85546875" style="2" customWidth="1"/>
    <col min="8883" max="8924" width="9" style="2"/>
    <col min="8925" max="8925" width="5" style="2" customWidth="1"/>
    <col min="8926" max="8926" width="34.42578125" style="2" customWidth="1"/>
    <col min="8927" max="8927" width="10.7109375" style="2" customWidth="1"/>
    <col min="8928" max="8928" width="9.28515625" style="2" customWidth="1"/>
    <col min="8929" max="8929" width="10.42578125" style="2" customWidth="1"/>
    <col min="8930" max="8935" width="9.28515625" style="2" customWidth="1"/>
    <col min="8936" max="8936" width="8.28515625" style="2" customWidth="1"/>
    <col min="8937" max="8944" width="9.28515625" style="2" customWidth="1"/>
    <col min="8945" max="9138" width="9.85546875" style="2" customWidth="1"/>
    <col min="9139" max="9180" width="9" style="2"/>
    <col min="9181" max="9181" width="5" style="2" customWidth="1"/>
    <col min="9182" max="9182" width="34.42578125" style="2" customWidth="1"/>
    <col min="9183" max="9183" width="10.7109375" style="2" customWidth="1"/>
    <col min="9184" max="9184" width="9.28515625" style="2" customWidth="1"/>
    <col min="9185" max="9185" width="10.42578125" style="2" customWidth="1"/>
    <col min="9186" max="9191" width="9.28515625" style="2" customWidth="1"/>
    <col min="9192" max="9192" width="8.28515625" style="2" customWidth="1"/>
    <col min="9193" max="9200" width="9.28515625" style="2" customWidth="1"/>
    <col min="9201" max="9394" width="9.85546875" style="2" customWidth="1"/>
    <col min="9395" max="9436" width="9" style="2"/>
    <col min="9437" max="9437" width="5" style="2" customWidth="1"/>
    <col min="9438" max="9438" width="34.42578125" style="2" customWidth="1"/>
    <col min="9439" max="9439" width="10.7109375" style="2" customWidth="1"/>
    <col min="9440" max="9440" width="9.28515625" style="2" customWidth="1"/>
    <col min="9441" max="9441" width="10.42578125" style="2" customWidth="1"/>
    <col min="9442" max="9447" width="9.28515625" style="2" customWidth="1"/>
    <col min="9448" max="9448" width="8.28515625" style="2" customWidth="1"/>
    <col min="9449" max="9456" width="9.28515625" style="2" customWidth="1"/>
    <col min="9457" max="9650" width="9.85546875" style="2" customWidth="1"/>
    <col min="9651" max="9692" width="9" style="2"/>
    <col min="9693" max="9693" width="5" style="2" customWidth="1"/>
    <col min="9694" max="9694" width="34.42578125" style="2" customWidth="1"/>
    <col min="9695" max="9695" width="10.7109375" style="2" customWidth="1"/>
    <col min="9696" max="9696" width="9.28515625" style="2" customWidth="1"/>
    <col min="9697" max="9697" width="10.42578125" style="2" customWidth="1"/>
    <col min="9698" max="9703" width="9.28515625" style="2" customWidth="1"/>
    <col min="9704" max="9704" width="8.28515625" style="2" customWidth="1"/>
    <col min="9705" max="9712" width="9.28515625" style="2" customWidth="1"/>
    <col min="9713" max="9906" width="9.85546875" style="2" customWidth="1"/>
    <col min="9907" max="9948" width="9" style="2"/>
    <col min="9949" max="9949" width="5" style="2" customWidth="1"/>
    <col min="9950" max="9950" width="34.42578125" style="2" customWidth="1"/>
    <col min="9951" max="9951" width="10.7109375" style="2" customWidth="1"/>
    <col min="9952" max="9952" width="9.28515625" style="2" customWidth="1"/>
    <col min="9953" max="9953" width="10.42578125" style="2" customWidth="1"/>
    <col min="9954" max="9959" width="9.28515625" style="2" customWidth="1"/>
    <col min="9960" max="9960" width="8.28515625" style="2" customWidth="1"/>
    <col min="9961" max="9968" width="9.28515625" style="2" customWidth="1"/>
    <col min="9969" max="10162" width="9.85546875" style="2" customWidth="1"/>
    <col min="10163" max="10204" width="9" style="2"/>
    <col min="10205" max="10205" width="5" style="2" customWidth="1"/>
    <col min="10206" max="10206" width="34.42578125" style="2" customWidth="1"/>
    <col min="10207" max="10207" width="10.7109375" style="2" customWidth="1"/>
    <col min="10208" max="10208" width="9.28515625" style="2" customWidth="1"/>
    <col min="10209" max="10209" width="10.42578125" style="2" customWidth="1"/>
    <col min="10210" max="10215" width="9.28515625" style="2" customWidth="1"/>
    <col min="10216" max="10216" width="8.28515625" style="2" customWidth="1"/>
    <col min="10217" max="10224" width="9.28515625" style="2" customWidth="1"/>
    <col min="10225" max="10418" width="9.85546875" style="2" customWidth="1"/>
    <col min="10419" max="10460" width="9" style="2"/>
    <col min="10461" max="10461" width="5" style="2" customWidth="1"/>
    <col min="10462" max="10462" width="34.42578125" style="2" customWidth="1"/>
    <col min="10463" max="10463" width="10.7109375" style="2" customWidth="1"/>
    <col min="10464" max="10464" width="9.28515625" style="2" customWidth="1"/>
    <col min="10465" max="10465" width="10.42578125" style="2" customWidth="1"/>
    <col min="10466" max="10471" width="9.28515625" style="2" customWidth="1"/>
    <col min="10472" max="10472" width="8.28515625" style="2" customWidth="1"/>
    <col min="10473" max="10480" width="9.28515625" style="2" customWidth="1"/>
    <col min="10481" max="10674" width="9.85546875" style="2" customWidth="1"/>
    <col min="10675" max="10716" width="9" style="2"/>
    <col min="10717" max="10717" width="5" style="2" customWidth="1"/>
    <col min="10718" max="10718" width="34.42578125" style="2" customWidth="1"/>
    <col min="10719" max="10719" width="10.7109375" style="2" customWidth="1"/>
    <col min="10720" max="10720" width="9.28515625" style="2" customWidth="1"/>
    <col min="10721" max="10721" width="10.42578125" style="2" customWidth="1"/>
    <col min="10722" max="10727" width="9.28515625" style="2" customWidth="1"/>
    <col min="10728" max="10728" width="8.28515625" style="2" customWidth="1"/>
    <col min="10729" max="10736" width="9.28515625" style="2" customWidth="1"/>
    <col min="10737" max="10930" width="9.85546875" style="2" customWidth="1"/>
    <col min="10931" max="10972" width="9" style="2"/>
    <col min="10973" max="10973" width="5" style="2" customWidth="1"/>
    <col min="10974" max="10974" width="34.42578125" style="2" customWidth="1"/>
    <col min="10975" max="10975" width="10.7109375" style="2" customWidth="1"/>
    <col min="10976" max="10976" width="9.28515625" style="2" customWidth="1"/>
    <col min="10977" max="10977" width="10.42578125" style="2" customWidth="1"/>
    <col min="10978" max="10983" width="9.28515625" style="2" customWidth="1"/>
    <col min="10984" max="10984" width="8.28515625" style="2" customWidth="1"/>
    <col min="10985" max="10992" width="9.28515625" style="2" customWidth="1"/>
    <col min="10993" max="11186" width="9.85546875" style="2" customWidth="1"/>
    <col min="11187" max="11228" width="9" style="2"/>
    <col min="11229" max="11229" width="5" style="2" customWidth="1"/>
    <col min="11230" max="11230" width="34.42578125" style="2" customWidth="1"/>
    <col min="11231" max="11231" width="10.7109375" style="2" customWidth="1"/>
    <col min="11232" max="11232" width="9.28515625" style="2" customWidth="1"/>
    <col min="11233" max="11233" width="10.42578125" style="2" customWidth="1"/>
    <col min="11234" max="11239" width="9.28515625" style="2" customWidth="1"/>
    <col min="11240" max="11240" width="8.28515625" style="2" customWidth="1"/>
    <col min="11241" max="11248" width="9.28515625" style="2" customWidth="1"/>
    <col min="11249" max="11442" width="9.85546875" style="2" customWidth="1"/>
    <col min="11443" max="11484" width="9" style="2"/>
    <col min="11485" max="11485" width="5" style="2" customWidth="1"/>
    <col min="11486" max="11486" width="34.42578125" style="2" customWidth="1"/>
    <col min="11487" max="11487" width="10.7109375" style="2" customWidth="1"/>
    <col min="11488" max="11488" width="9.28515625" style="2" customWidth="1"/>
    <col min="11489" max="11489" width="10.42578125" style="2" customWidth="1"/>
    <col min="11490" max="11495" width="9.28515625" style="2" customWidth="1"/>
    <col min="11496" max="11496" width="8.28515625" style="2" customWidth="1"/>
    <col min="11497" max="11504" width="9.28515625" style="2" customWidth="1"/>
    <col min="11505" max="11698" width="9.85546875" style="2" customWidth="1"/>
    <col min="11699" max="11740" width="9" style="2"/>
    <col min="11741" max="11741" width="5" style="2" customWidth="1"/>
    <col min="11742" max="11742" width="34.42578125" style="2" customWidth="1"/>
    <col min="11743" max="11743" width="10.7109375" style="2" customWidth="1"/>
    <col min="11744" max="11744" width="9.28515625" style="2" customWidth="1"/>
    <col min="11745" max="11745" width="10.42578125" style="2" customWidth="1"/>
    <col min="11746" max="11751" width="9.28515625" style="2" customWidth="1"/>
    <col min="11752" max="11752" width="8.28515625" style="2" customWidth="1"/>
    <col min="11753" max="11760" width="9.28515625" style="2" customWidth="1"/>
    <col min="11761" max="11954" width="9.85546875" style="2" customWidth="1"/>
    <col min="11955" max="11996" width="9" style="2"/>
    <col min="11997" max="11997" width="5" style="2" customWidth="1"/>
    <col min="11998" max="11998" width="34.42578125" style="2" customWidth="1"/>
    <col min="11999" max="11999" width="10.7109375" style="2" customWidth="1"/>
    <col min="12000" max="12000" width="9.28515625" style="2" customWidth="1"/>
    <col min="12001" max="12001" width="10.42578125" style="2" customWidth="1"/>
    <col min="12002" max="12007" width="9.28515625" style="2" customWidth="1"/>
    <col min="12008" max="12008" width="8.28515625" style="2" customWidth="1"/>
    <col min="12009" max="12016" width="9.28515625" style="2" customWidth="1"/>
    <col min="12017" max="12210" width="9.85546875" style="2" customWidth="1"/>
    <col min="12211" max="12252" width="9" style="2"/>
    <col min="12253" max="12253" width="5" style="2" customWidth="1"/>
    <col min="12254" max="12254" width="34.42578125" style="2" customWidth="1"/>
    <col min="12255" max="12255" width="10.7109375" style="2" customWidth="1"/>
    <col min="12256" max="12256" width="9.28515625" style="2" customWidth="1"/>
    <col min="12257" max="12257" width="10.42578125" style="2" customWidth="1"/>
    <col min="12258" max="12263" width="9.28515625" style="2" customWidth="1"/>
    <col min="12264" max="12264" width="8.28515625" style="2" customWidth="1"/>
    <col min="12265" max="12272" width="9.28515625" style="2" customWidth="1"/>
    <col min="12273" max="12466" width="9.85546875" style="2" customWidth="1"/>
    <col min="12467" max="12508" width="9" style="2"/>
    <col min="12509" max="12509" width="5" style="2" customWidth="1"/>
    <col min="12510" max="12510" width="34.42578125" style="2" customWidth="1"/>
    <col min="12511" max="12511" width="10.7109375" style="2" customWidth="1"/>
    <col min="12512" max="12512" width="9.28515625" style="2" customWidth="1"/>
    <col min="12513" max="12513" width="10.42578125" style="2" customWidth="1"/>
    <col min="12514" max="12519" width="9.28515625" style="2" customWidth="1"/>
    <col min="12520" max="12520" width="8.28515625" style="2" customWidth="1"/>
    <col min="12521" max="12528" width="9.28515625" style="2" customWidth="1"/>
    <col min="12529" max="12722" width="9.85546875" style="2" customWidth="1"/>
    <col min="12723" max="12764" width="9" style="2"/>
    <col min="12765" max="12765" width="5" style="2" customWidth="1"/>
    <col min="12766" max="12766" width="34.42578125" style="2" customWidth="1"/>
    <col min="12767" max="12767" width="10.7109375" style="2" customWidth="1"/>
    <col min="12768" max="12768" width="9.28515625" style="2" customWidth="1"/>
    <col min="12769" max="12769" width="10.42578125" style="2" customWidth="1"/>
    <col min="12770" max="12775" width="9.28515625" style="2" customWidth="1"/>
    <col min="12776" max="12776" width="8.28515625" style="2" customWidth="1"/>
    <col min="12777" max="12784" width="9.28515625" style="2" customWidth="1"/>
    <col min="12785" max="12978" width="9.85546875" style="2" customWidth="1"/>
    <col min="12979" max="13020" width="9" style="2"/>
    <col min="13021" max="13021" width="5" style="2" customWidth="1"/>
    <col min="13022" max="13022" width="34.42578125" style="2" customWidth="1"/>
    <col min="13023" max="13023" width="10.7109375" style="2" customWidth="1"/>
    <col min="13024" max="13024" width="9.28515625" style="2" customWidth="1"/>
    <col min="13025" max="13025" width="10.42578125" style="2" customWidth="1"/>
    <col min="13026" max="13031" width="9.28515625" style="2" customWidth="1"/>
    <col min="13032" max="13032" width="8.28515625" style="2" customWidth="1"/>
    <col min="13033" max="13040" width="9.28515625" style="2" customWidth="1"/>
    <col min="13041" max="13234" width="9.85546875" style="2" customWidth="1"/>
    <col min="13235" max="13276" width="9" style="2"/>
    <col min="13277" max="13277" width="5" style="2" customWidth="1"/>
    <col min="13278" max="13278" width="34.42578125" style="2" customWidth="1"/>
    <col min="13279" max="13279" width="10.7109375" style="2" customWidth="1"/>
    <col min="13280" max="13280" width="9.28515625" style="2" customWidth="1"/>
    <col min="13281" max="13281" width="10.42578125" style="2" customWidth="1"/>
    <col min="13282" max="13287" width="9.28515625" style="2" customWidth="1"/>
    <col min="13288" max="13288" width="8.28515625" style="2" customWidth="1"/>
    <col min="13289" max="13296" width="9.28515625" style="2" customWidth="1"/>
    <col min="13297" max="13490" width="9.85546875" style="2" customWidth="1"/>
    <col min="13491" max="13532" width="9" style="2"/>
    <col min="13533" max="13533" width="5" style="2" customWidth="1"/>
    <col min="13534" max="13534" width="34.42578125" style="2" customWidth="1"/>
    <col min="13535" max="13535" width="10.7109375" style="2" customWidth="1"/>
    <col min="13536" max="13536" width="9.28515625" style="2" customWidth="1"/>
    <col min="13537" max="13537" width="10.42578125" style="2" customWidth="1"/>
    <col min="13538" max="13543" width="9.28515625" style="2" customWidth="1"/>
    <col min="13544" max="13544" width="8.28515625" style="2" customWidth="1"/>
    <col min="13545" max="13552" width="9.28515625" style="2" customWidth="1"/>
    <col min="13553" max="13746" width="9.85546875" style="2" customWidth="1"/>
    <col min="13747" max="13788" width="9" style="2"/>
    <col min="13789" max="13789" width="5" style="2" customWidth="1"/>
    <col min="13790" max="13790" width="34.42578125" style="2" customWidth="1"/>
    <col min="13791" max="13791" width="10.7109375" style="2" customWidth="1"/>
    <col min="13792" max="13792" width="9.28515625" style="2" customWidth="1"/>
    <col min="13793" max="13793" width="10.42578125" style="2" customWidth="1"/>
    <col min="13794" max="13799" width="9.28515625" style="2" customWidth="1"/>
    <col min="13800" max="13800" width="8.28515625" style="2" customWidth="1"/>
    <col min="13801" max="13808" width="9.28515625" style="2" customWidth="1"/>
    <col min="13809" max="14002" width="9.85546875" style="2" customWidth="1"/>
    <col min="14003" max="14044" width="9" style="2"/>
    <col min="14045" max="14045" width="5" style="2" customWidth="1"/>
    <col min="14046" max="14046" width="34.42578125" style="2" customWidth="1"/>
    <col min="14047" max="14047" width="10.7109375" style="2" customWidth="1"/>
    <col min="14048" max="14048" width="9.28515625" style="2" customWidth="1"/>
    <col min="14049" max="14049" width="10.42578125" style="2" customWidth="1"/>
    <col min="14050" max="14055" width="9.28515625" style="2" customWidth="1"/>
    <col min="14056" max="14056" width="8.28515625" style="2" customWidth="1"/>
    <col min="14057" max="14064" width="9.28515625" style="2" customWidth="1"/>
    <col min="14065" max="14258" width="9.85546875" style="2" customWidth="1"/>
    <col min="14259" max="14300" width="9" style="2"/>
    <col min="14301" max="14301" width="5" style="2" customWidth="1"/>
    <col min="14302" max="14302" width="34.42578125" style="2" customWidth="1"/>
    <col min="14303" max="14303" width="10.7109375" style="2" customWidth="1"/>
    <col min="14304" max="14304" width="9.28515625" style="2" customWidth="1"/>
    <col min="14305" max="14305" width="10.42578125" style="2" customWidth="1"/>
    <col min="14306" max="14311" width="9.28515625" style="2" customWidth="1"/>
    <col min="14312" max="14312" width="8.28515625" style="2" customWidth="1"/>
    <col min="14313" max="14320" width="9.28515625" style="2" customWidth="1"/>
    <col min="14321" max="14514" width="9.85546875" style="2" customWidth="1"/>
    <col min="14515" max="14556" width="9" style="2"/>
    <col min="14557" max="14557" width="5" style="2" customWidth="1"/>
    <col min="14558" max="14558" width="34.42578125" style="2" customWidth="1"/>
    <col min="14559" max="14559" width="10.7109375" style="2" customWidth="1"/>
    <col min="14560" max="14560" width="9.28515625" style="2" customWidth="1"/>
    <col min="14561" max="14561" width="10.42578125" style="2" customWidth="1"/>
    <col min="14562" max="14567" width="9.28515625" style="2" customWidth="1"/>
    <col min="14568" max="14568" width="8.28515625" style="2" customWidth="1"/>
    <col min="14569" max="14576" width="9.28515625" style="2" customWidth="1"/>
    <col min="14577" max="14770" width="9.85546875" style="2" customWidth="1"/>
    <col min="14771" max="14812" width="9" style="2"/>
    <col min="14813" max="14813" width="5" style="2" customWidth="1"/>
    <col min="14814" max="14814" width="34.42578125" style="2" customWidth="1"/>
    <col min="14815" max="14815" width="10.7109375" style="2" customWidth="1"/>
    <col min="14816" max="14816" width="9.28515625" style="2" customWidth="1"/>
    <col min="14817" max="14817" width="10.42578125" style="2" customWidth="1"/>
    <col min="14818" max="14823" width="9.28515625" style="2" customWidth="1"/>
    <col min="14824" max="14824" width="8.28515625" style="2" customWidth="1"/>
    <col min="14825" max="14832" width="9.28515625" style="2" customWidth="1"/>
    <col min="14833" max="15026" width="9.85546875" style="2" customWidth="1"/>
    <col min="15027" max="15068" width="9" style="2"/>
    <col min="15069" max="15069" width="5" style="2" customWidth="1"/>
    <col min="15070" max="15070" width="34.42578125" style="2" customWidth="1"/>
    <col min="15071" max="15071" width="10.7109375" style="2" customWidth="1"/>
    <col min="15072" max="15072" width="9.28515625" style="2" customWidth="1"/>
    <col min="15073" max="15073" width="10.42578125" style="2" customWidth="1"/>
    <col min="15074" max="15079" width="9.28515625" style="2" customWidth="1"/>
    <col min="15080" max="15080" width="8.28515625" style="2" customWidth="1"/>
    <col min="15081" max="15088" width="9.28515625" style="2" customWidth="1"/>
    <col min="15089" max="15282" width="9.85546875" style="2" customWidth="1"/>
    <col min="15283" max="15324" width="9" style="2"/>
    <col min="15325" max="15325" width="5" style="2" customWidth="1"/>
    <col min="15326" max="15326" width="34.42578125" style="2" customWidth="1"/>
    <col min="15327" max="15327" width="10.7109375" style="2" customWidth="1"/>
    <col min="15328" max="15328" width="9.28515625" style="2" customWidth="1"/>
    <col min="15329" max="15329" width="10.42578125" style="2" customWidth="1"/>
    <col min="15330" max="15335" width="9.28515625" style="2" customWidth="1"/>
    <col min="15336" max="15336" width="8.28515625" style="2" customWidth="1"/>
    <col min="15337" max="15344" width="9.28515625" style="2" customWidth="1"/>
    <col min="15345" max="15538" width="9.85546875" style="2" customWidth="1"/>
    <col min="15539" max="15580" width="9" style="2"/>
    <col min="15581" max="15581" width="5" style="2" customWidth="1"/>
    <col min="15582" max="15582" width="34.42578125" style="2" customWidth="1"/>
    <col min="15583" max="15583" width="10.7109375" style="2" customWidth="1"/>
    <col min="15584" max="15584" width="9.28515625" style="2" customWidth="1"/>
    <col min="15585" max="15585" width="10.42578125" style="2" customWidth="1"/>
    <col min="15586" max="15591" width="9.28515625" style="2" customWidth="1"/>
    <col min="15592" max="15592" width="8.28515625" style="2" customWidth="1"/>
    <col min="15593" max="15600" width="9.28515625" style="2" customWidth="1"/>
    <col min="15601" max="15794" width="9.85546875" style="2" customWidth="1"/>
    <col min="15795" max="15836" width="9" style="2"/>
    <col min="15837" max="15837" width="5" style="2" customWidth="1"/>
    <col min="15838" max="15838" width="34.42578125" style="2" customWidth="1"/>
    <col min="15839" max="15839" width="10.7109375" style="2" customWidth="1"/>
    <col min="15840" max="15840" width="9.28515625" style="2" customWidth="1"/>
    <col min="15841" max="15841" width="10.42578125" style="2" customWidth="1"/>
    <col min="15842" max="15847" width="9.28515625" style="2" customWidth="1"/>
    <col min="15848" max="15848" width="8.28515625" style="2" customWidth="1"/>
    <col min="15849" max="15856" width="9.28515625" style="2" customWidth="1"/>
    <col min="15857" max="16384" width="9.85546875" style="2" customWidth="1"/>
  </cols>
  <sheetData>
    <row r="2" spans="1:23">
      <c r="A2" s="1981" t="s">
        <v>313</v>
      </c>
      <c r="B2" s="1981"/>
      <c r="C2" s="1981"/>
      <c r="D2" s="1981"/>
      <c r="E2" s="1981"/>
      <c r="F2" s="1981"/>
      <c r="G2" s="1981"/>
      <c r="H2" s="1981"/>
      <c r="I2" s="1981"/>
      <c r="J2" s="1981"/>
      <c r="K2" s="1981"/>
      <c r="L2" s="1981"/>
      <c r="M2" s="1981"/>
      <c r="N2" s="1981"/>
      <c r="O2" s="1981"/>
      <c r="P2" s="1981"/>
      <c r="Q2" s="1981"/>
      <c r="R2" s="1981"/>
      <c r="S2" s="1981"/>
      <c r="T2" s="1981"/>
      <c r="U2" s="1981"/>
      <c r="V2" s="1981"/>
      <c r="W2" s="1981"/>
    </row>
    <row r="3" spans="1:23">
      <c r="T3" s="1982" t="s">
        <v>228</v>
      </c>
      <c r="U3" s="1982"/>
      <c r="V3" s="1982"/>
      <c r="W3" s="1982"/>
    </row>
    <row r="4" spans="1:23">
      <c r="A4" s="1983" t="s">
        <v>309</v>
      </c>
      <c r="B4" s="73"/>
      <c r="C4" s="1986" t="s">
        <v>250</v>
      </c>
      <c r="D4" s="1989" t="s">
        <v>0</v>
      </c>
      <c r="E4" s="1990"/>
      <c r="F4" s="1990"/>
      <c r="G4" s="1990"/>
      <c r="H4" s="1990"/>
      <c r="I4" s="1990"/>
      <c r="J4" s="1990"/>
      <c r="K4" s="1990"/>
      <c r="L4" s="1990"/>
      <c r="M4" s="1990"/>
      <c r="N4" s="1990"/>
      <c r="O4" s="1990"/>
      <c r="P4" s="1990"/>
      <c r="Q4" s="1990"/>
      <c r="R4" s="1990"/>
      <c r="S4" s="1990"/>
      <c r="T4" s="1990"/>
      <c r="U4" s="1990"/>
      <c r="V4" s="1990"/>
      <c r="W4" s="1991"/>
    </row>
    <row r="5" spans="1:23">
      <c r="A5" s="1984"/>
      <c r="B5" s="74"/>
      <c r="C5" s="1987"/>
      <c r="D5" s="1998" t="s">
        <v>308</v>
      </c>
      <c r="E5" s="1989" t="s">
        <v>311</v>
      </c>
      <c r="F5" s="1990"/>
      <c r="G5" s="1990"/>
      <c r="H5" s="1990"/>
      <c r="I5" s="1990"/>
      <c r="J5" s="1991"/>
      <c r="K5" s="1989" t="s">
        <v>310</v>
      </c>
      <c r="L5" s="1990"/>
      <c r="M5" s="1990"/>
      <c r="N5" s="1990"/>
      <c r="O5" s="1990"/>
      <c r="P5" s="1990"/>
      <c r="Q5" s="1990"/>
      <c r="R5" s="1990"/>
      <c r="S5" s="1990"/>
      <c r="T5" s="1990"/>
      <c r="U5" s="1990"/>
      <c r="V5" s="1990"/>
      <c r="W5" s="1991"/>
    </row>
    <row r="6" spans="1:23">
      <c r="A6" s="1984"/>
      <c r="B6" s="74"/>
      <c r="C6" s="1987"/>
      <c r="D6" s="1999"/>
      <c r="E6" s="1995"/>
      <c r="F6" s="1996"/>
      <c r="G6" s="1996"/>
      <c r="H6" s="1996"/>
      <c r="I6" s="1996"/>
      <c r="J6" s="1997"/>
      <c r="K6" s="1995"/>
      <c r="L6" s="1996"/>
      <c r="M6" s="1996"/>
      <c r="N6" s="1996"/>
      <c r="O6" s="1996"/>
      <c r="P6" s="1996"/>
      <c r="Q6" s="1996"/>
      <c r="R6" s="1996"/>
      <c r="S6" s="1996"/>
      <c r="T6" s="1996"/>
      <c r="U6" s="1996"/>
      <c r="V6" s="1996"/>
      <c r="W6" s="1997"/>
    </row>
    <row r="7" spans="1:23" s="82" customFormat="1" ht="21">
      <c r="A7" s="1985"/>
      <c r="B7" s="75"/>
      <c r="C7" s="1988"/>
      <c r="D7" s="1999"/>
      <c r="E7" s="76" t="s">
        <v>5</v>
      </c>
      <c r="F7" s="76" t="s">
        <v>34</v>
      </c>
      <c r="G7" s="76" t="s">
        <v>1</v>
      </c>
      <c r="H7" s="76" t="s">
        <v>2</v>
      </c>
      <c r="I7" s="77" t="s">
        <v>3</v>
      </c>
      <c r="J7" s="78" t="s">
        <v>4</v>
      </c>
      <c r="K7" s="79" t="s">
        <v>5</v>
      </c>
      <c r="L7" s="80" t="s">
        <v>6</v>
      </c>
      <c r="M7" s="81" t="s">
        <v>7</v>
      </c>
      <c r="N7" s="81" t="s">
        <v>8</v>
      </c>
      <c r="O7" s="81" t="s">
        <v>9</v>
      </c>
      <c r="P7" s="81" t="s">
        <v>10</v>
      </c>
      <c r="Q7" s="81" t="s">
        <v>11</v>
      </c>
      <c r="R7" s="81" t="s">
        <v>12</v>
      </c>
      <c r="S7" s="81" t="s">
        <v>13</v>
      </c>
      <c r="T7" s="81" t="s">
        <v>14</v>
      </c>
      <c r="U7" s="81" t="s">
        <v>15</v>
      </c>
      <c r="V7" s="81" t="s">
        <v>16</v>
      </c>
      <c r="W7" s="81" t="s">
        <v>17</v>
      </c>
    </row>
    <row r="8" spans="1:23" s="90" customFormat="1">
      <c r="A8" s="83"/>
      <c r="B8" s="83"/>
      <c r="C8" s="84"/>
      <c r="D8" s="85"/>
      <c r="E8" s="86"/>
      <c r="F8" s="86">
        <v>1</v>
      </c>
      <c r="G8" s="86">
        <v>2</v>
      </c>
      <c r="H8" s="86">
        <v>3</v>
      </c>
      <c r="I8" s="86">
        <v>4</v>
      </c>
      <c r="J8" s="86">
        <v>5</v>
      </c>
      <c r="K8" s="87"/>
      <c r="L8" s="88">
        <v>1</v>
      </c>
      <c r="M8" s="89">
        <v>2</v>
      </c>
      <c r="N8" s="88">
        <v>3</v>
      </c>
      <c r="O8" s="89">
        <v>4</v>
      </c>
      <c r="P8" s="88">
        <v>5</v>
      </c>
      <c r="Q8" s="89">
        <v>6</v>
      </c>
      <c r="R8" s="88">
        <v>7</v>
      </c>
      <c r="S8" s="89">
        <v>8</v>
      </c>
      <c r="T8" s="88">
        <v>9</v>
      </c>
      <c r="U8" s="89">
        <v>10</v>
      </c>
      <c r="V8" s="88">
        <v>11</v>
      </c>
      <c r="W8" s="89">
        <v>12</v>
      </c>
    </row>
    <row r="9" spans="1:23" s="92" customFormat="1">
      <c r="A9" s="75"/>
      <c r="B9" s="75"/>
      <c r="C9" s="91" t="s">
        <v>244</v>
      </c>
      <c r="D9" s="51">
        <f>E9+K9</f>
        <v>79416649.925999999</v>
      </c>
      <c r="E9" s="51">
        <f>SUM(F9:J9)</f>
        <v>23263796</v>
      </c>
      <c r="F9" s="51">
        <f>F10+F48+F53+F150+F215+F235+F266+F319+F331+F359+F388+F415+F448+F460+F462+F466+F479+F486+F497+F508+F542</f>
        <v>15430875</v>
      </c>
      <c r="G9" s="51">
        <f t="shared" ref="G9:J9" si="0">G10+G48+G53+G150+G215+G235+G266+G319+G331+G359+G388+G415+G448+G460+G462+G466+G479+G486+G497+G508+G542</f>
        <v>278900</v>
      </c>
      <c r="H9" s="51">
        <f t="shared" si="0"/>
        <v>7082202</v>
      </c>
      <c r="I9" s="51">
        <f t="shared" si="0"/>
        <v>274920</v>
      </c>
      <c r="J9" s="51">
        <f t="shared" si="0"/>
        <v>196899</v>
      </c>
      <c r="K9" s="51">
        <f>SUM(L9:W9)</f>
        <v>56152853.925999999</v>
      </c>
      <c r="L9" s="51">
        <f>L10+L48+L53+L150+L215+L235+L266+L319+L331+L359+L388+L415+L448+L460+L462+L466+L479+L486+L497+L508+L542</f>
        <v>10074309</v>
      </c>
      <c r="M9" s="51">
        <f t="shared" ref="M9:W9" si="1">M10+M48+M53+M150+M215+M235+M266+M319+M331+M359+M388+M415+M448+M460+M462+M466+M479+M486+M497+M508+M542</f>
        <v>2272786.9670000002</v>
      </c>
      <c r="N9" s="51">
        <f t="shared" si="1"/>
        <v>3586458</v>
      </c>
      <c r="O9" s="51">
        <f t="shared" si="1"/>
        <v>5182153.5</v>
      </c>
      <c r="P9" s="51">
        <f t="shared" si="1"/>
        <v>5829500</v>
      </c>
      <c r="Q9" s="51">
        <f t="shared" si="1"/>
        <v>3076112.4730000002</v>
      </c>
      <c r="R9" s="51">
        <f t="shared" si="1"/>
        <v>5178409.6459999997</v>
      </c>
      <c r="S9" s="51">
        <f t="shared" si="1"/>
        <v>3654840.3</v>
      </c>
      <c r="T9" s="51">
        <f t="shared" si="1"/>
        <v>6003811.04</v>
      </c>
      <c r="U9" s="51">
        <f t="shared" si="1"/>
        <v>3662767</v>
      </c>
      <c r="V9" s="51">
        <f t="shared" si="1"/>
        <v>2615205</v>
      </c>
      <c r="W9" s="51">
        <f t="shared" si="1"/>
        <v>5016501</v>
      </c>
    </row>
    <row r="10" spans="1:23" s="35" customFormat="1" ht="31.5">
      <c r="A10" s="93">
        <v>1</v>
      </c>
      <c r="B10" s="94" t="s">
        <v>34</v>
      </c>
      <c r="C10" s="95" t="s">
        <v>243</v>
      </c>
      <c r="D10" s="51">
        <f t="shared" ref="D10:D73" si="2">E10+K10</f>
        <v>13192184.573000001</v>
      </c>
      <c r="E10" s="51">
        <f t="shared" ref="E10:E73" si="3">SUM(F10:J10)</f>
        <v>1313850</v>
      </c>
      <c r="F10" s="96">
        <f>F11+F24+F36+F48</f>
        <v>1313850</v>
      </c>
      <c r="G10" s="96">
        <f t="shared" ref="G10:W10" si="4">G11+G24+G36+G48</f>
        <v>0</v>
      </c>
      <c r="H10" s="96">
        <f t="shared" si="4"/>
        <v>0</v>
      </c>
      <c r="I10" s="96">
        <f t="shared" si="4"/>
        <v>0</v>
      </c>
      <c r="J10" s="96">
        <f t="shared" si="4"/>
        <v>0</v>
      </c>
      <c r="K10" s="51">
        <f t="shared" ref="K10:K73" si="5">SUM(L10:W10)</f>
        <v>11878334.573000001</v>
      </c>
      <c r="L10" s="96">
        <f t="shared" si="4"/>
        <v>3563495</v>
      </c>
      <c r="M10" s="96">
        <f t="shared" si="4"/>
        <v>317028</v>
      </c>
      <c r="N10" s="96">
        <f t="shared" si="4"/>
        <v>846490</v>
      </c>
      <c r="O10" s="96">
        <f t="shared" si="4"/>
        <v>811754</v>
      </c>
      <c r="P10" s="96">
        <f t="shared" si="4"/>
        <v>1283682</v>
      </c>
      <c r="Q10" s="96">
        <f t="shared" si="4"/>
        <v>661822.27300000004</v>
      </c>
      <c r="R10" s="96">
        <f t="shared" si="4"/>
        <v>918664</v>
      </c>
      <c r="S10" s="96">
        <f t="shared" si="4"/>
        <v>613549.30000000005</v>
      </c>
      <c r="T10" s="96">
        <f t="shared" si="4"/>
        <v>759600</v>
      </c>
      <c r="U10" s="96">
        <f t="shared" si="4"/>
        <v>1271610</v>
      </c>
      <c r="V10" s="96">
        <f t="shared" si="4"/>
        <v>113280</v>
      </c>
      <c r="W10" s="96">
        <f t="shared" si="4"/>
        <v>717360</v>
      </c>
    </row>
    <row r="11" spans="1:23" s="3" customFormat="1" ht="10.5">
      <c r="A11" s="97" t="s">
        <v>578</v>
      </c>
      <c r="B11" s="98" t="s">
        <v>34</v>
      </c>
      <c r="C11" s="99" t="s">
        <v>305</v>
      </c>
      <c r="D11" s="100">
        <f t="shared" si="2"/>
        <v>2954948.1229999997</v>
      </c>
      <c r="E11" s="100">
        <f t="shared" si="3"/>
        <v>517600</v>
      </c>
      <c r="F11" s="101">
        <f>SUM(F12:F23)</f>
        <v>517600</v>
      </c>
      <c r="G11" s="101">
        <f t="shared" ref="G11:W11" si="6">SUM(G12:G23)</f>
        <v>0</v>
      </c>
      <c r="H11" s="101">
        <f t="shared" si="6"/>
        <v>0</v>
      </c>
      <c r="I11" s="101">
        <f t="shared" si="6"/>
        <v>0</v>
      </c>
      <c r="J11" s="101">
        <f t="shared" si="6"/>
        <v>0</v>
      </c>
      <c r="K11" s="100">
        <f t="shared" si="5"/>
        <v>2437348.1229999997</v>
      </c>
      <c r="L11" s="101">
        <f t="shared" si="6"/>
        <v>224692</v>
      </c>
      <c r="M11" s="101">
        <f t="shared" si="6"/>
        <v>164778</v>
      </c>
      <c r="N11" s="101">
        <f t="shared" si="6"/>
        <v>54610</v>
      </c>
      <c r="O11" s="101">
        <f t="shared" si="6"/>
        <v>406050</v>
      </c>
      <c r="P11" s="101">
        <f t="shared" si="6"/>
        <v>114756</v>
      </c>
      <c r="Q11" s="101">
        <f t="shared" si="6"/>
        <v>88489.122999999992</v>
      </c>
      <c r="R11" s="101">
        <f t="shared" si="6"/>
        <v>310180</v>
      </c>
      <c r="S11" s="101">
        <f t="shared" si="6"/>
        <v>140143</v>
      </c>
      <c r="T11" s="101">
        <f t="shared" si="6"/>
        <v>345800</v>
      </c>
      <c r="U11" s="101">
        <f t="shared" si="6"/>
        <v>145810</v>
      </c>
      <c r="V11" s="101">
        <f t="shared" si="6"/>
        <v>113280</v>
      </c>
      <c r="W11" s="101">
        <f t="shared" si="6"/>
        <v>328760</v>
      </c>
    </row>
    <row r="12" spans="1:23" s="4" customFormat="1" ht="22.5">
      <c r="A12" s="102">
        <v>1.1000000000000001</v>
      </c>
      <c r="B12" s="103" t="s">
        <v>34</v>
      </c>
      <c r="C12" s="104" t="s">
        <v>507</v>
      </c>
      <c r="D12" s="51">
        <f t="shared" si="2"/>
        <v>420370</v>
      </c>
      <c r="E12" s="51">
        <f t="shared" si="3"/>
        <v>200000</v>
      </c>
      <c r="F12" s="105">
        <v>200000</v>
      </c>
      <c r="G12" s="105"/>
      <c r="H12" s="105"/>
      <c r="I12" s="105"/>
      <c r="J12" s="105"/>
      <c r="K12" s="51">
        <f t="shared" si="5"/>
        <v>220370</v>
      </c>
      <c r="L12" s="105"/>
      <c r="M12" s="105">
        <v>12000</v>
      </c>
      <c r="N12" s="105">
        <v>8400</v>
      </c>
      <c r="O12" s="105">
        <v>7040</v>
      </c>
      <c r="P12" s="105"/>
      <c r="Q12" s="105"/>
      <c r="R12" s="105">
        <v>10400</v>
      </c>
      <c r="S12" s="105">
        <v>13160</v>
      </c>
      <c r="T12" s="105">
        <v>10000</v>
      </c>
      <c r="U12" s="105">
        <v>11430</v>
      </c>
      <c r="V12" s="105">
        <v>63680</v>
      </c>
      <c r="W12" s="105">
        <v>84260</v>
      </c>
    </row>
    <row r="13" spans="1:23" s="4" customFormat="1">
      <c r="A13" s="102">
        <v>1.2</v>
      </c>
      <c r="B13" s="103" t="s">
        <v>34</v>
      </c>
      <c r="C13" s="106" t="s">
        <v>186</v>
      </c>
      <c r="D13" s="51">
        <f t="shared" si="2"/>
        <v>508266.12300000002</v>
      </c>
      <c r="E13" s="51">
        <f t="shared" si="3"/>
        <v>16000</v>
      </c>
      <c r="F13" s="107">
        <v>16000</v>
      </c>
      <c r="G13" s="107"/>
      <c r="H13" s="107"/>
      <c r="I13" s="107"/>
      <c r="J13" s="107"/>
      <c r="K13" s="51">
        <f t="shared" si="5"/>
        <v>492266.12300000002</v>
      </c>
      <c r="L13" s="107">
        <v>80560</v>
      </c>
      <c r="M13" s="107">
        <v>6500</v>
      </c>
      <c r="N13" s="107">
        <v>4800</v>
      </c>
      <c r="O13" s="107">
        <v>53130</v>
      </c>
      <c r="P13" s="107">
        <v>6736</v>
      </c>
      <c r="Q13" s="108">
        <v>1280.123</v>
      </c>
      <c r="R13" s="107">
        <v>42500</v>
      </c>
      <c r="S13" s="107">
        <v>55840</v>
      </c>
      <c r="T13" s="107">
        <v>215000</v>
      </c>
      <c r="U13" s="107">
        <v>25920</v>
      </c>
      <c r="V13" s="107"/>
      <c r="W13" s="107"/>
    </row>
    <row r="14" spans="1:23" s="4" customFormat="1" ht="22.5">
      <c r="A14" s="102">
        <v>1.3</v>
      </c>
      <c r="B14" s="103" t="s">
        <v>34</v>
      </c>
      <c r="C14" s="106" t="s">
        <v>306</v>
      </c>
      <c r="D14" s="51">
        <f t="shared" si="2"/>
        <v>262348</v>
      </c>
      <c r="E14" s="51">
        <f t="shared" si="3"/>
        <v>24000</v>
      </c>
      <c r="F14" s="107">
        <v>24000</v>
      </c>
      <c r="G14" s="107"/>
      <c r="H14" s="107"/>
      <c r="I14" s="107"/>
      <c r="J14" s="107"/>
      <c r="K14" s="51">
        <f t="shared" si="5"/>
        <v>238348</v>
      </c>
      <c r="L14" s="107">
        <v>45600</v>
      </c>
      <c r="M14" s="107">
        <v>20000</v>
      </c>
      <c r="N14" s="107">
        <v>3520</v>
      </c>
      <c r="O14" s="107">
        <v>44400</v>
      </c>
      <c r="P14" s="107">
        <v>2500</v>
      </c>
      <c r="Q14" s="107">
        <v>1500</v>
      </c>
      <c r="R14" s="107">
        <v>8200</v>
      </c>
      <c r="S14" s="107">
        <v>33648</v>
      </c>
      <c r="T14" s="107">
        <v>25800</v>
      </c>
      <c r="U14" s="107">
        <v>5960</v>
      </c>
      <c r="V14" s="107">
        <v>9600</v>
      </c>
      <c r="W14" s="107">
        <v>37620</v>
      </c>
    </row>
    <row r="15" spans="1:23" s="4" customFormat="1">
      <c r="A15" s="102">
        <v>1.4</v>
      </c>
      <c r="B15" s="103" t="s">
        <v>34</v>
      </c>
      <c r="C15" s="106" t="s">
        <v>187</v>
      </c>
      <c r="D15" s="51">
        <f t="shared" si="2"/>
        <v>42970</v>
      </c>
      <c r="E15" s="51">
        <f t="shared" si="3"/>
        <v>0</v>
      </c>
      <c r="F15" s="107"/>
      <c r="G15" s="107"/>
      <c r="H15" s="107"/>
      <c r="I15" s="107"/>
      <c r="J15" s="107"/>
      <c r="K15" s="51">
        <f t="shared" si="5"/>
        <v>42970</v>
      </c>
      <c r="L15" s="107">
        <v>500</v>
      </c>
      <c r="M15" s="107"/>
      <c r="N15" s="107">
        <v>330</v>
      </c>
      <c r="O15" s="107">
        <v>1680</v>
      </c>
      <c r="P15" s="107">
        <v>2000</v>
      </c>
      <c r="Q15" s="107">
        <v>2000</v>
      </c>
      <c r="R15" s="107">
        <v>9800</v>
      </c>
      <c r="S15" s="107">
        <v>660</v>
      </c>
      <c r="T15" s="107">
        <v>15000</v>
      </c>
      <c r="U15" s="107">
        <v>3000</v>
      </c>
      <c r="V15" s="107">
        <v>4000</v>
      </c>
      <c r="W15" s="107">
        <v>4000</v>
      </c>
    </row>
    <row r="16" spans="1:23" s="4" customFormat="1">
      <c r="A16" s="102">
        <v>1.5</v>
      </c>
      <c r="B16" s="103" t="s">
        <v>34</v>
      </c>
      <c r="C16" s="106" t="s">
        <v>188</v>
      </c>
      <c r="D16" s="51">
        <f t="shared" si="2"/>
        <v>89202</v>
      </c>
      <c r="E16" s="51">
        <f t="shared" si="3"/>
        <v>12000</v>
      </c>
      <c r="F16" s="107">
        <v>12000</v>
      </c>
      <c r="G16" s="107"/>
      <c r="H16" s="107"/>
      <c r="I16" s="107"/>
      <c r="J16" s="107"/>
      <c r="K16" s="51">
        <f t="shared" si="5"/>
        <v>77202</v>
      </c>
      <c r="L16" s="107">
        <v>702</v>
      </c>
      <c r="M16" s="107">
        <v>10000</v>
      </c>
      <c r="N16" s="107">
        <v>10000</v>
      </c>
      <c r="O16" s="107">
        <v>30000</v>
      </c>
      <c r="P16" s="107">
        <v>3000</v>
      </c>
      <c r="Q16" s="107"/>
      <c r="R16" s="107">
        <v>2500</v>
      </c>
      <c r="S16" s="107"/>
      <c r="T16" s="107"/>
      <c r="U16" s="107">
        <v>5000</v>
      </c>
      <c r="V16" s="107"/>
      <c r="W16" s="107">
        <v>16000</v>
      </c>
    </row>
    <row r="17" spans="1:23" s="4" customFormat="1">
      <c r="A17" s="102">
        <v>1.6</v>
      </c>
      <c r="B17" s="103" t="s">
        <v>34</v>
      </c>
      <c r="C17" s="109" t="s">
        <v>207</v>
      </c>
      <c r="D17" s="51">
        <f t="shared" si="2"/>
        <v>54000</v>
      </c>
      <c r="E17" s="51">
        <f t="shared" si="3"/>
        <v>0</v>
      </c>
      <c r="F17" s="110"/>
      <c r="G17" s="110"/>
      <c r="H17" s="110"/>
      <c r="I17" s="110"/>
      <c r="J17" s="110"/>
      <c r="K17" s="51">
        <f t="shared" si="5"/>
        <v>54000</v>
      </c>
      <c r="L17" s="111"/>
      <c r="M17" s="112"/>
      <c r="N17" s="113">
        <v>5000</v>
      </c>
      <c r="O17" s="113">
        <v>10000</v>
      </c>
      <c r="P17" s="114"/>
      <c r="Q17" s="113">
        <v>9000</v>
      </c>
      <c r="R17" s="115">
        <v>20000</v>
      </c>
      <c r="S17" s="113">
        <v>10000</v>
      </c>
      <c r="T17" s="116"/>
      <c r="U17" s="113"/>
      <c r="V17" s="113"/>
      <c r="W17" s="117"/>
    </row>
    <row r="18" spans="1:23" s="4" customFormat="1">
      <c r="A18" s="102">
        <v>1.7</v>
      </c>
      <c r="B18" s="103" t="s">
        <v>34</v>
      </c>
      <c r="C18" s="106" t="s">
        <v>189</v>
      </c>
      <c r="D18" s="51">
        <f t="shared" si="2"/>
        <v>332680</v>
      </c>
      <c r="E18" s="51">
        <f t="shared" si="3"/>
        <v>0</v>
      </c>
      <c r="F18" s="107"/>
      <c r="G18" s="107"/>
      <c r="H18" s="107"/>
      <c r="I18" s="107"/>
      <c r="J18" s="107"/>
      <c r="K18" s="51">
        <f t="shared" si="5"/>
        <v>332680</v>
      </c>
      <c r="L18" s="107"/>
      <c r="M18" s="107">
        <v>4500</v>
      </c>
      <c r="N18" s="107">
        <v>8400</v>
      </c>
      <c r="O18" s="107">
        <v>105000</v>
      </c>
      <c r="P18" s="107"/>
      <c r="Q18" s="107">
        <v>30000</v>
      </c>
      <c r="R18" s="107">
        <v>83580</v>
      </c>
      <c r="S18" s="107"/>
      <c r="T18" s="107"/>
      <c r="U18" s="107">
        <v>22000</v>
      </c>
      <c r="V18" s="107">
        <v>36000</v>
      </c>
      <c r="W18" s="107">
        <v>43200</v>
      </c>
    </row>
    <row r="19" spans="1:23" s="4" customFormat="1">
      <c r="A19" s="102">
        <v>1.8</v>
      </c>
      <c r="B19" s="103" t="s">
        <v>34</v>
      </c>
      <c r="C19" s="106" t="s">
        <v>216</v>
      </c>
      <c r="D19" s="51">
        <f t="shared" si="2"/>
        <v>191300</v>
      </c>
      <c r="E19" s="51">
        <f t="shared" si="3"/>
        <v>0</v>
      </c>
      <c r="F19" s="107"/>
      <c r="G19" s="107"/>
      <c r="H19" s="107"/>
      <c r="I19" s="107"/>
      <c r="J19" s="107"/>
      <c r="K19" s="51">
        <f t="shared" si="5"/>
        <v>191300</v>
      </c>
      <c r="L19" s="107">
        <v>19600</v>
      </c>
      <c r="M19" s="107">
        <v>3500</v>
      </c>
      <c r="N19" s="107">
        <v>10000</v>
      </c>
      <c r="O19" s="107">
        <v>100000</v>
      </c>
      <c r="P19" s="107">
        <v>45000</v>
      </c>
      <c r="Q19" s="107">
        <v>7200</v>
      </c>
      <c r="R19" s="107"/>
      <c r="S19" s="107">
        <v>6000</v>
      </c>
      <c r="T19" s="107"/>
      <c r="U19" s="107"/>
      <c r="V19" s="107"/>
      <c r="W19" s="107"/>
    </row>
    <row r="20" spans="1:23" s="1" customFormat="1" ht="22.5">
      <c r="A20" s="102">
        <v>1.9</v>
      </c>
      <c r="B20" s="103" t="s">
        <v>34</v>
      </c>
      <c r="C20" s="106" t="s">
        <v>217</v>
      </c>
      <c r="D20" s="51">
        <f t="shared" si="2"/>
        <v>118480</v>
      </c>
      <c r="E20" s="51">
        <f t="shared" si="3"/>
        <v>0</v>
      </c>
      <c r="F20" s="107"/>
      <c r="G20" s="107"/>
      <c r="H20" s="107"/>
      <c r="I20" s="107"/>
      <c r="J20" s="107"/>
      <c r="K20" s="51">
        <f t="shared" si="5"/>
        <v>118480</v>
      </c>
      <c r="L20" s="107"/>
      <c r="M20" s="107"/>
      <c r="N20" s="107">
        <v>4160</v>
      </c>
      <c r="O20" s="107">
        <v>20800</v>
      </c>
      <c r="P20" s="107">
        <v>13520</v>
      </c>
      <c r="Q20" s="107"/>
      <c r="R20" s="107"/>
      <c r="S20" s="107"/>
      <c r="T20" s="107">
        <v>80000</v>
      </c>
      <c r="U20" s="107"/>
      <c r="V20" s="107"/>
      <c r="W20" s="107"/>
    </row>
    <row r="21" spans="1:23" ht="22.5">
      <c r="A21" s="102">
        <v>1.1000000000000001</v>
      </c>
      <c r="B21" s="103" t="s">
        <v>34</v>
      </c>
      <c r="C21" s="106" t="s">
        <v>508</v>
      </c>
      <c r="D21" s="51">
        <f t="shared" si="2"/>
        <v>820352</v>
      </c>
      <c r="E21" s="51">
        <f t="shared" si="3"/>
        <v>211600</v>
      </c>
      <c r="F21" s="107">
        <v>211600</v>
      </c>
      <c r="G21" s="107"/>
      <c r="H21" s="107"/>
      <c r="I21" s="107"/>
      <c r="J21" s="107"/>
      <c r="K21" s="51">
        <f t="shared" si="5"/>
        <v>608752</v>
      </c>
      <c r="L21" s="107">
        <v>77730</v>
      </c>
      <c r="M21" s="107">
        <v>108278</v>
      </c>
      <c r="N21" s="107"/>
      <c r="O21" s="107">
        <v>34000</v>
      </c>
      <c r="P21" s="107">
        <v>42000</v>
      </c>
      <c r="Q21" s="107">
        <v>37509</v>
      </c>
      <c r="R21" s="107">
        <v>92200</v>
      </c>
      <c r="S21" s="107">
        <v>20835</v>
      </c>
      <c r="T21" s="107"/>
      <c r="U21" s="107">
        <v>62500</v>
      </c>
      <c r="V21" s="107"/>
      <c r="W21" s="107">
        <v>133700</v>
      </c>
    </row>
    <row r="22" spans="1:23" ht="22.5">
      <c r="A22" s="102">
        <v>1.17</v>
      </c>
      <c r="B22" s="103" t="s">
        <v>34</v>
      </c>
      <c r="C22" s="106" t="s">
        <v>509</v>
      </c>
      <c r="D22" s="51">
        <f t="shared" si="2"/>
        <v>72480</v>
      </c>
      <c r="E22" s="51">
        <f t="shared" si="3"/>
        <v>50000</v>
      </c>
      <c r="F22" s="107">
        <v>50000</v>
      </c>
      <c r="G22" s="107"/>
      <c r="H22" s="107"/>
      <c r="I22" s="107"/>
      <c r="J22" s="107"/>
      <c r="K22" s="51">
        <f t="shared" si="5"/>
        <v>22480</v>
      </c>
      <c r="L22" s="107"/>
      <c r="M22" s="107"/>
      <c r="N22" s="107"/>
      <c r="O22" s="107"/>
      <c r="P22" s="107"/>
      <c r="Q22" s="107"/>
      <c r="R22" s="107">
        <v>2500</v>
      </c>
      <c r="S22" s="107"/>
      <c r="T22" s="107"/>
      <c r="U22" s="107">
        <v>10000</v>
      </c>
      <c r="V22" s="107"/>
      <c r="W22" s="107">
        <v>9980</v>
      </c>
    </row>
    <row r="23" spans="1:23" ht="22.5">
      <c r="A23" s="102">
        <v>1.18</v>
      </c>
      <c r="B23" s="103" t="s">
        <v>34</v>
      </c>
      <c r="C23" s="106" t="s">
        <v>510</v>
      </c>
      <c r="D23" s="51">
        <f t="shared" si="2"/>
        <v>42500</v>
      </c>
      <c r="E23" s="51">
        <f t="shared" si="3"/>
        <v>4000</v>
      </c>
      <c r="F23" s="107">
        <v>4000</v>
      </c>
      <c r="G23" s="107"/>
      <c r="H23" s="107"/>
      <c r="I23" s="107"/>
      <c r="J23" s="107"/>
      <c r="K23" s="51">
        <f t="shared" si="5"/>
        <v>38500</v>
      </c>
      <c r="L23" s="107"/>
      <c r="M23" s="107"/>
      <c r="N23" s="107"/>
      <c r="O23" s="107"/>
      <c r="P23" s="107"/>
      <c r="Q23" s="107"/>
      <c r="R23" s="107">
        <v>38500</v>
      </c>
      <c r="S23" s="107"/>
      <c r="T23" s="107"/>
      <c r="U23" s="107"/>
      <c r="V23" s="107"/>
      <c r="W23" s="107"/>
    </row>
    <row r="24" spans="1:23" s="44" customFormat="1" ht="10.5">
      <c r="A24" s="97" t="s">
        <v>579</v>
      </c>
      <c r="B24" s="98" t="s">
        <v>34</v>
      </c>
      <c r="C24" s="99" t="s">
        <v>511</v>
      </c>
      <c r="D24" s="100">
        <f t="shared" si="2"/>
        <v>9865770.4499999993</v>
      </c>
      <c r="E24" s="100">
        <f t="shared" si="3"/>
        <v>638850</v>
      </c>
      <c r="F24" s="101">
        <f>SUM(F25:F35)</f>
        <v>638850</v>
      </c>
      <c r="G24" s="101">
        <f t="shared" ref="G24:W24" si="7">SUM(G25:G35)</f>
        <v>0</v>
      </c>
      <c r="H24" s="101">
        <f t="shared" si="7"/>
        <v>0</v>
      </c>
      <c r="I24" s="101">
        <f t="shared" si="7"/>
        <v>0</v>
      </c>
      <c r="J24" s="101">
        <f t="shared" si="7"/>
        <v>0</v>
      </c>
      <c r="K24" s="100">
        <f t="shared" si="5"/>
        <v>9226920.4499999993</v>
      </c>
      <c r="L24" s="101">
        <f t="shared" si="7"/>
        <v>3309523</v>
      </c>
      <c r="M24" s="101">
        <f t="shared" si="7"/>
        <v>137750</v>
      </c>
      <c r="N24" s="101">
        <f t="shared" si="7"/>
        <v>784800</v>
      </c>
      <c r="O24" s="101">
        <f t="shared" si="7"/>
        <v>405704</v>
      </c>
      <c r="P24" s="101">
        <f t="shared" si="7"/>
        <v>1005720</v>
      </c>
      <c r="Q24" s="101">
        <f t="shared" si="7"/>
        <v>573333.15</v>
      </c>
      <c r="R24" s="101">
        <f t="shared" si="7"/>
        <v>608484</v>
      </c>
      <c r="S24" s="101">
        <f t="shared" si="7"/>
        <v>473406.3</v>
      </c>
      <c r="T24" s="101">
        <f t="shared" si="7"/>
        <v>413800</v>
      </c>
      <c r="U24" s="101">
        <f t="shared" si="7"/>
        <v>1125800</v>
      </c>
      <c r="V24" s="101">
        <f t="shared" si="7"/>
        <v>0</v>
      </c>
      <c r="W24" s="101">
        <f t="shared" si="7"/>
        <v>388600</v>
      </c>
    </row>
    <row r="25" spans="1:23" s="34" customFormat="1">
      <c r="A25" s="102">
        <v>2.1</v>
      </c>
      <c r="B25" s="103" t="s">
        <v>34</v>
      </c>
      <c r="C25" s="106" t="s">
        <v>293</v>
      </c>
      <c r="D25" s="51">
        <f t="shared" si="2"/>
        <v>1038360</v>
      </c>
      <c r="E25" s="51">
        <f t="shared" si="3"/>
        <v>20000</v>
      </c>
      <c r="F25" s="107">
        <v>20000</v>
      </c>
      <c r="G25" s="107"/>
      <c r="H25" s="107"/>
      <c r="I25" s="107"/>
      <c r="J25" s="107"/>
      <c r="K25" s="51">
        <f t="shared" si="5"/>
        <v>1018360</v>
      </c>
      <c r="L25" s="107">
        <v>702000</v>
      </c>
      <c r="M25" s="107">
        <v>25000</v>
      </c>
      <c r="N25" s="107"/>
      <c r="O25" s="107">
        <v>7040</v>
      </c>
      <c r="P25" s="107"/>
      <c r="Q25" s="107">
        <v>3000</v>
      </c>
      <c r="R25" s="107">
        <v>14240</v>
      </c>
      <c r="S25" s="107">
        <v>17080</v>
      </c>
      <c r="T25" s="107"/>
      <c r="U25" s="107">
        <v>250000</v>
      </c>
      <c r="V25" s="107"/>
      <c r="W25" s="107"/>
    </row>
    <row r="26" spans="1:23" s="34" customFormat="1">
      <c r="A26" s="102">
        <v>2.2999999999999998</v>
      </c>
      <c r="B26" s="103" t="s">
        <v>34</v>
      </c>
      <c r="C26" s="106" t="s">
        <v>188</v>
      </c>
      <c r="D26" s="51">
        <f t="shared" si="2"/>
        <v>39500</v>
      </c>
      <c r="E26" s="51">
        <f t="shared" si="3"/>
        <v>0</v>
      </c>
      <c r="F26" s="107">
        <v>0</v>
      </c>
      <c r="G26" s="107"/>
      <c r="H26" s="107"/>
      <c r="I26" s="107"/>
      <c r="J26" s="107"/>
      <c r="K26" s="51">
        <f t="shared" si="5"/>
        <v>39500</v>
      </c>
      <c r="L26" s="107"/>
      <c r="M26" s="107">
        <v>5000</v>
      </c>
      <c r="N26" s="107"/>
      <c r="O26" s="107">
        <v>10000</v>
      </c>
      <c r="P26" s="107"/>
      <c r="Q26" s="107">
        <v>4000</v>
      </c>
      <c r="R26" s="107">
        <v>2500</v>
      </c>
      <c r="S26" s="107">
        <v>13000</v>
      </c>
      <c r="T26" s="107"/>
      <c r="U26" s="107">
        <v>5000</v>
      </c>
      <c r="V26" s="107"/>
      <c r="W26" s="107"/>
    </row>
    <row r="27" spans="1:23" s="34" customFormat="1" ht="22.5">
      <c r="A27" s="102">
        <v>2.4</v>
      </c>
      <c r="B27" s="103" t="s">
        <v>34</v>
      </c>
      <c r="C27" s="106" t="s">
        <v>512</v>
      </c>
      <c r="D27" s="51">
        <f t="shared" si="2"/>
        <v>2739797.45</v>
      </c>
      <c r="E27" s="51">
        <f t="shared" si="3"/>
        <v>211600</v>
      </c>
      <c r="F27" s="107">
        <v>211600</v>
      </c>
      <c r="G27" s="107"/>
      <c r="H27" s="107"/>
      <c r="I27" s="107"/>
      <c r="J27" s="107"/>
      <c r="K27" s="51">
        <f t="shared" si="5"/>
        <v>2528197.4500000002</v>
      </c>
      <c r="L27" s="107">
        <v>395880</v>
      </c>
      <c r="M27" s="107">
        <v>107750</v>
      </c>
      <c r="N27" s="107">
        <v>448200</v>
      </c>
      <c r="O27" s="107">
        <v>82064</v>
      </c>
      <c r="P27" s="107">
        <v>111000</v>
      </c>
      <c r="Q27" s="108">
        <v>241733.15</v>
      </c>
      <c r="R27" s="107">
        <v>285144</v>
      </c>
      <c r="S27" s="118">
        <v>111826.3</v>
      </c>
      <c r="T27" s="107">
        <v>107200</v>
      </c>
      <c r="U27" s="107">
        <v>555400</v>
      </c>
      <c r="V27" s="107"/>
      <c r="W27" s="107">
        <v>82000</v>
      </c>
    </row>
    <row r="28" spans="1:23" s="34" customFormat="1">
      <c r="A28" s="102">
        <v>2.5</v>
      </c>
      <c r="B28" s="103" t="s">
        <v>34</v>
      </c>
      <c r="C28" s="106" t="s">
        <v>292</v>
      </c>
      <c r="D28" s="51">
        <f t="shared" si="2"/>
        <v>30000</v>
      </c>
      <c r="E28" s="51">
        <f t="shared" si="3"/>
        <v>0</v>
      </c>
      <c r="F28" s="107"/>
      <c r="G28" s="107"/>
      <c r="H28" s="107"/>
      <c r="I28" s="107"/>
      <c r="J28" s="107"/>
      <c r="K28" s="51">
        <f t="shared" si="5"/>
        <v>30000</v>
      </c>
      <c r="L28" s="107"/>
      <c r="M28" s="107"/>
      <c r="N28" s="107">
        <v>30000</v>
      </c>
      <c r="O28" s="107"/>
      <c r="P28" s="107"/>
      <c r="Q28" s="107"/>
      <c r="R28" s="107"/>
      <c r="S28" s="107"/>
      <c r="T28" s="107"/>
      <c r="U28" s="107"/>
      <c r="V28" s="107"/>
      <c r="W28" s="107"/>
    </row>
    <row r="29" spans="1:23" s="34" customFormat="1" ht="22.5">
      <c r="A29" s="102">
        <v>2.7</v>
      </c>
      <c r="B29" s="103" t="s">
        <v>34</v>
      </c>
      <c r="C29" s="106" t="s">
        <v>513</v>
      </c>
      <c r="D29" s="51">
        <f t="shared" si="2"/>
        <v>36000</v>
      </c>
      <c r="E29" s="51">
        <f t="shared" si="3"/>
        <v>0</v>
      </c>
      <c r="F29" s="107"/>
      <c r="G29" s="107"/>
      <c r="H29" s="107"/>
      <c r="I29" s="107"/>
      <c r="J29" s="107"/>
      <c r="K29" s="51">
        <f t="shared" si="5"/>
        <v>36000</v>
      </c>
      <c r="L29" s="107">
        <v>36000</v>
      </c>
      <c r="M29" s="107"/>
      <c r="N29" s="107"/>
      <c r="O29" s="107"/>
      <c r="P29" s="107"/>
      <c r="Q29" s="107"/>
      <c r="R29" s="107"/>
      <c r="S29" s="107"/>
      <c r="T29" s="107"/>
      <c r="U29" s="107"/>
      <c r="V29" s="107"/>
      <c r="W29" s="107"/>
    </row>
    <row r="30" spans="1:23" s="34" customFormat="1" ht="22.5">
      <c r="A30" s="102">
        <v>2.9</v>
      </c>
      <c r="B30" s="103" t="s">
        <v>34</v>
      </c>
      <c r="C30" s="106" t="s">
        <v>514</v>
      </c>
      <c r="D30" s="51">
        <f t="shared" si="2"/>
        <v>73940</v>
      </c>
      <c r="E30" s="51">
        <f t="shared" si="3"/>
        <v>0</v>
      </c>
      <c r="F30" s="107"/>
      <c r="G30" s="107"/>
      <c r="H30" s="107"/>
      <c r="I30" s="107"/>
      <c r="J30" s="107"/>
      <c r="K30" s="51">
        <f t="shared" si="5"/>
        <v>73940</v>
      </c>
      <c r="L30" s="107">
        <v>45080</v>
      </c>
      <c r="M30" s="107"/>
      <c r="N30" s="107"/>
      <c r="O30" s="107"/>
      <c r="P30" s="107"/>
      <c r="Q30" s="107"/>
      <c r="R30" s="107"/>
      <c r="S30" s="107">
        <v>28860</v>
      </c>
      <c r="T30" s="107"/>
      <c r="U30" s="107"/>
      <c r="V30" s="107"/>
      <c r="W30" s="107"/>
    </row>
    <row r="31" spans="1:23" s="34" customFormat="1">
      <c r="A31" s="102">
        <v>2.1</v>
      </c>
      <c r="B31" s="103" t="s">
        <v>34</v>
      </c>
      <c r="C31" s="106" t="s">
        <v>515</v>
      </c>
      <c r="D31" s="51">
        <f t="shared" si="2"/>
        <v>26913</v>
      </c>
      <c r="E31" s="51">
        <f t="shared" si="3"/>
        <v>0</v>
      </c>
      <c r="F31" s="107"/>
      <c r="G31" s="107"/>
      <c r="H31" s="107"/>
      <c r="I31" s="107"/>
      <c r="J31" s="107"/>
      <c r="K31" s="51">
        <f t="shared" si="5"/>
        <v>26913</v>
      </c>
      <c r="L31" s="107">
        <v>26913</v>
      </c>
      <c r="M31" s="107"/>
      <c r="N31" s="107"/>
      <c r="O31" s="107"/>
      <c r="P31" s="107"/>
      <c r="Q31" s="107"/>
      <c r="R31" s="107"/>
      <c r="S31" s="107"/>
      <c r="T31" s="107"/>
      <c r="U31" s="107"/>
      <c r="V31" s="107"/>
      <c r="W31" s="107"/>
    </row>
    <row r="32" spans="1:23" s="34" customFormat="1" ht="22.5">
      <c r="A32" s="102">
        <v>2.11</v>
      </c>
      <c r="B32" s="103" t="s">
        <v>34</v>
      </c>
      <c r="C32" s="106" t="s">
        <v>516</v>
      </c>
      <c r="D32" s="51">
        <f t="shared" si="2"/>
        <v>912000</v>
      </c>
      <c r="E32" s="51">
        <f t="shared" si="3"/>
        <v>24000</v>
      </c>
      <c r="F32" s="107">
        <v>24000</v>
      </c>
      <c r="G32" s="107"/>
      <c r="H32" s="107"/>
      <c r="I32" s="107"/>
      <c r="J32" s="107"/>
      <c r="K32" s="51">
        <f t="shared" si="5"/>
        <v>888000</v>
      </c>
      <c r="L32" s="107">
        <v>474000</v>
      </c>
      <c r="M32" s="107"/>
      <c r="N32" s="107"/>
      <c r="O32" s="107"/>
      <c r="P32" s="107">
        <v>300000</v>
      </c>
      <c r="Q32" s="107">
        <v>18000</v>
      </c>
      <c r="R32" s="107"/>
      <c r="S32" s="107">
        <v>96000</v>
      </c>
      <c r="T32" s="107"/>
      <c r="U32" s="107"/>
      <c r="V32" s="107"/>
      <c r="W32" s="107"/>
    </row>
    <row r="33" spans="1:23" s="34" customFormat="1" ht="22.5">
      <c r="A33" s="102">
        <v>2.12</v>
      </c>
      <c r="B33" s="103" t="s">
        <v>34</v>
      </c>
      <c r="C33" s="119" t="s">
        <v>517</v>
      </c>
      <c r="D33" s="51">
        <f t="shared" si="2"/>
        <v>4940460</v>
      </c>
      <c r="E33" s="51">
        <f t="shared" si="3"/>
        <v>383250</v>
      </c>
      <c r="F33" s="107">
        <v>383250</v>
      </c>
      <c r="G33" s="107"/>
      <c r="H33" s="107"/>
      <c r="I33" s="107"/>
      <c r="J33" s="107"/>
      <c r="K33" s="51">
        <f t="shared" si="5"/>
        <v>4557210</v>
      </c>
      <c r="L33" s="107">
        <v>1609650</v>
      </c>
      <c r="M33" s="107"/>
      <c r="N33" s="107">
        <v>306600</v>
      </c>
      <c r="O33" s="107">
        <v>306600</v>
      </c>
      <c r="P33" s="107">
        <v>594720</v>
      </c>
      <c r="Q33" s="107">
        <v>306600</v>
      </c>
      <c r="R33" s="107">
        <v>306600</v>
      </c>
      <c r="S33" s="107">
        <v>206640</v>
      </c>
      <c r="T33" s="107">
        <v>306600</v>
      </c>
      <c r="U33" s="107">
        <v>306600</v>
      </c>
      <c r="V33" s="107"/>
      <c r="W33" s="107">
        <v>306600</v>
      </c>
    </row>
    <row r="34" spans="1:23" s="34" customFormat="1" ht="22.5">
      <c r="A34" s="102">
        <v>2.13</v>
      </c>
      <c r="B34" s="103" t="s">
        <v>34</v>
      </c>
      <c r="C34" s="119" t="s">
        <v>518</v>
      </c>
      <c r="D34" s="51">
        <f t="shared" si="2"/>
        <v>20000</v>
      </c>
      <c r="E34" s="51">
        <f t="shared" si="3"/>
        <v>0</v>
      </c>
      <c r="F34" s="107"/>
      <c r="G34" s="107"/>
      <c r="H34" s="107"/>
      <c r="I34" s="107"/>
      <c r="J34" s="107"/>
      <c r="K34" s="51">
        <f t="shared" si="5"/>
        <v>20000</v>
      </c>
      <c r="L34" s="107">
        <v>20000</v>
      </c>
      <c r="M34" s="107"/>
      <c r="N34" s="107"/>
      <c r="O34" s="107"/>
      <c r="P34" s="107"/>
      <c r="Q34" s="107"/>
      <c r="R34" s="107"/>
      <c r="S34" s="107"/>
      <c r="T34" s="107"/>
      <c r="U34" s="107"/>
      <c r="V34" s="107"/>
      <c r="W34" s="107"/>
    </row>
    <row r="35" spans="1:23" s="34" customFormat="1">
      <c r="A35" s="102">
        <v>2.14</v>
      </c>
      <c r="B35" s="103" t="s">
        <v>34</v>
      </c>
      <c r="C35" s="119" t="s">
        <v>519</v>
      </c>
      <c r="D35" s="51">
        <f t="shared" si="2"/>
        <v>8800</v>
      </c>
      <c r="E35" s="51">
        <f t="shared" si="3"/>
        <v>0</v>
      </c>
      <c r="F35" s="107"/>
      <c r="G35" s="107"/>
      <c r="H35" s="107"/>
      <c r="I35" s="107"/>
      <c r="J35" s="107"/>
      <c r="K35" s="51">
        <f t="shared" si="5"/>
        <v>8800</v>
      </c>
      <c r="L35" s="107"/>
      <c r="M35" s="107"/>
      <c r="N35" s="107"/>
      <c r="O35" s="107"/>
      <c r="P35" s="107"/>
      <c r="Q35" s="107"/>
      <c r="R35" s="107"/>
      <c r="S35" s="107"/>
      <c r="T35" s="107"/>
      <c r="U35" s="107">
        <v>8800</v>
      </c>
      <c r="V35" s="107"/>
      <c r="W35" s="107"/>
    </row>
    <row r="36" spans="1:23" s="44" customFormat="1" ht="10.5">
      <c r="A36" s="97" t="s">
        <v>580</v>
      </c>
      <c r="B36" s="98" t="s">
        <v>34</v>
      </c>
      <c r="C36" s="99" t="s">
        <v>31</v>
      </c>
      <c r="D36" s="100">
        <f t="shared" si="2"/>
        <v>141796</v>
      </c>
      <c r="E36" s="100">
        <f t="shared" si="3"/>
        <v>52400</v>
      </c>
      <c r="F36" s="101">
        <f>SUM(F37:F47)</f>
        <v>52400</v>
      </c>
      <c r="G36" s="101">
        <f t="shared" ref="G36:W36" si="8">SUM(G37:G47)</f>
        <v>0</v>
      </c>
      <c r="H36" s="101">
        <f t="shared" si="8"/>
        <v>0</v>
      </c>
      <c r="I36" s="101">
        <f t="shared" si="8"/>
        <v>0</v>
      </c>
      <c r="J36" s="101">
        <f t="shared" si="8"/>
        <v>0</v>
      </c>
      <c r="K36" s="100">
        <f t="shared" si="5"/>
        <v>89396</v>
      </c>
      <c r="L36" s="101">
        <f t="shared" si="8"/>
        <v>29280</v>
      </c>
      <c r="M36" s="101">
        <f t="shared" si="8"/>
        <v>14500</v>
      </c>
      <c r="N36" s="101">
        <f t="shared" si="8"/>
        <v>7080</v>
      </c>
      <c r="O36" s="101">
        <f t="shared" si="8"/>
        <v>0</v>
      </c>
      <c r="P36" s="101">
        <f t="shared" si="8"/>
        <v>38536</v>
      </c>
      <c r="Q36" s="101">
        <f t="shared" si="8"/>
        <v>0</v>
      </c>
      <c r="R36" s="101">
        <f t="shared" si="8"/>
        <v>0</v>
      </c>
      <c r="S36" s="101">
        <f t="shared" si="8"/>
        <v>0</v>
      </c>
      <c r="T36" s="101">
        <f t="shared" si="8"/>
        <v>0</v>
      </c>
      <c r="U36" s="101">
        <f t="shared" si="8"/>
        <v>0</v>
      </c>
      <c r="V36" s="101">
        <f t="shared" si="8"/>
        <v>0</v>
      </c>
      <c r="W36" s="101">
        <f t="shared" si="8"/>
        <v>0</v>
      </c>
    </row>
    <row r="37" spans="1:23" s="34" customFormat="1">
      <c r="A37" s="120">
        <v>3.1</v>
      </c>
      <c r="B37" s="121" t="s">
        <v>34</v>
      </c>
      <c r="C37" s="106" t="s">
        <v>96</v>
      </c>
      <c r="D37" s="51">
        <f t="shared" si="2"/>
        <v>75620</v>
      </c>
      <c r="E37" s="51">
        <f t="shared" si="3"/>
        <v>36000</v>
      </c>
      <c r="F37" s="107">
        <v>36000</v>
      </c>
      <c r="G37" s="107"/>
      <c r="H37" s="107"/>
      <c r="I37" s="107"/>
      <c r="J37" s="107"/>
      <c r="K37" s="51">
        <f t="shared" si="5"/>
        <v>39620</v>
      </c>
      <c r="L37" s="107">
        <v>24780</v>
      </c>
      <c r="M37" s="107">
        <v>2000</v>
      </c>
      <c r="N37" s="107">
        <v>1280</v>
      </c>
      <c r="O37" s="107"/>
      <c r="P37" s="107">
        <v>11560</v>
      </c>
      <c r="Q37" s="107"/>
      <c r="R37" s="107"/>
      <c r="S37" s="107"/>
      <c r="T37" s="107"/>
      <c r="U37" s="107"/>
      <c r="V37" s="107"/>
      <c r="W37" s="107"/>
    </row>
    <row r="38" spans="1:23" s="34" customFormat="1">
      <c r="A38" s="120">
        <v>3.2</v>
      </c>
      <c r="B38" s="121" t="s">
        <v>34</v>
      </c>
      <c r="C38" s="106" t="s">
        <v>218</v>
      </c>
      <c r="D38" s="51">
        <f t="shared" si="2"/>
        <v>16200</v>
      </c>
      <c r="E38" s="51">
        <f t="shared" si="3"/>
        <v>0</v>
      </c>
      <c r="F38" s="107"/>
      <c r="G38" s="107"/>
      <c r="H38" s="107"/>
      <c r="I38" s="107"/>
      <c r="J38" s="107"/>
      <c r="K38" s="51">
        <f t="shared" si="5"/>
        <v>16200</v>
      </c>
      <c r="L38" s="107"/>
      <c r="M38" s="107">
        <v>5000</v>
      </c>
      <c r="N38" s="107">
        <v>1200</v>
      </c>
      <c r="O38" s="107"/>
      <c r="P38" s="107">
        <v>10000</v>
      </c>
      <c r="Q38" s="107"/>
      <c r="R38" s="107"/>
      <c r="S38" s="107"/>
      <c r="T38" s="107"/>
      <c r="U38" s="107"/>
      <c r="V38" s="107"/>
      <c r="W38" s="107"/>
    </row>
    <row r="39" spans="1:23" s="34" customFormat="1">
      <c r="A39" s="120">
        <v>3.3</v>
      </c>
      <c r="B39" s="121" t="s">
        <v>34</v>
      </c>
      <c r="C39" s="106" t="s">
        <v>219</v>
      </c>
      <c r="D39" s="51">
        <f t="shared" si="2"/>
        <v>5200</v>
      </c>
      <c r="E39" s="51">
        <f t="shared" si="3"/>
        <v>0</v>
      </c>
      <c r="F39" s="107"/>
      <c r="G39" s="107"/>
      <c r="H39" s="107"/>
      <c r="I39" s="107"/>
      <c r="J39" s="107"/>
      <c r="K39" s="51">
        <f t="shared" si="5"/>
        <v>5200</v>
      </c>
      <c r="L39" s="107"/>
      <c r="M39" s="107">
        <v>1000</v>
      </c>
      <c r="N39" s="107">
        <v>200</v>
      </c>
      <c r="O39" s="107"/>
      <c r="P39" s="107">
        <v>4000</v>
      </c>
      <c r="Q39" s="107"/>
      <c r="R39" s="107"/>
      <c r="S39" s="107"/>
      <c r="T39" s="107"/>
      <c r="U39" s="107"/>
      <c r="V39" s="107"/>
      <c r="W39" s="107"/>
    </row>
    <row r="40" spans="1:23" s="34" customFormat="1">
      <c r="A40" s="120">
        <v>3.4</v>
      </c>
      <c r="B40" s="121" t="s">
        <v>34</v>
      </c>
      <c r="C40" s="106" t="s">
        <v>220</v>
      </c>
      <c r="D40" s="51">
        <f t="shared" si="2"/>
        <v>9400</v>
      </c>
      <c r="E40" s="51">
        <f t="shared" si="3"/>
        <v>0</v>
      </c>
      <c r="F40" s="107"/>
      <c r="G40" s="107"/>
      <c r="H40" s="107"/>
      <c r="I40" s="107"/>
      <c r="J40" s="107"/>
      <c r="K40" s="51">
        <f t="shared" si="5"/>
        <v>9400</v>
      </c>
      <c r="L40" s="107"/>
      <c r="M40" s="107">
        <v>2500</v>
      </c>
      <c r="N40" s="107">
        <v>2400</v>
      </c>
      <c r="O40" s="107"/>
      <c r="P40" s="107">
        <v>4500</v>
      </c>
      <c r="Q40" s="107"/>
      <c r="R40" s="107"/>
      <c r="S40" s="107"/>
      <c r="T40" s="107"/>
      <c r="U40" s="107"/>
      <c r="V40" s="107"/>
      <c r="W40" s="107"/>
    </row>
    <row r="41" spans="1:23" s="34" customFormat="1" ht="22.5">
      <c r="A41" s="120">
        <v>3.5</v>
      </c>
      <c r="B41" s="121" t="s">
        <v>34</v>
      </c>
      <c r="C41" s="106" t="s">
        <v>221</v>
      </c>
      <c r="D41" s="51">
        <f t="shared" si="2"/>
        <v>6900</v>
      </c>
      <c r="E41" s="51">
        <f t="shared" si="3"/>
        <v>0</v>
      </c>
      <c r="F41" s="107"/>
      <c r="G41" s="107"/>
      <c r="H41" s="107"/>
      <c r="I41" s="107"/>
      <c r="J41" s="107"/>
      <c r="K41" s="51">
        <f t="shared" si="5"/>
        <v>6900</v>
      </c>
      <c r="L41" s="107"/>
      <c r="M41" s="107">
        <v>2500</v>
      </c>
      <c r="N41" s="107">
        <v>2000</v>
      </c>
      <c r="O41" s="107"/>
      <c r="P41" s="107">
        <v>2400</v>
      </c>
      <c r="Q41" s="107"/>
      <c r="R41" s="107"/>
      <c r="S41" s="107"/>
      <c r="T41" s="107"/>
      <c r="U41" s="107"/>
      <c r="V41" s="107"/>
      <c r="W41" s="107"/>
    </row>
    <row r="42" spans="1:23" s="34" customFormat="1">
      <c r="A42" s="120">
        <v>3.7</v>
      </c>
      <c r="B42" s="121" t="s">
        <v>34</v>
      </c>
      <c r="C42" s="106" t="s">
        <v>290</v>
      </c>
      <c r="D42" s="51">
        <f t="shared" si="2"/>
        <v>1700</v>
      </c>
      <c r="E42" s="51">
        <f t="shared" si="3"/>
        <v>0</v>
      </c>
      <c r="F42" s="107"/>
      <c r="G42" s="107"/>
      <c r="H42" s="107"/>
      <c r="I42" s="107"/>
      <c r="J42" s="107"/>
      <c r="K42" s="51">
        <f t="shared" si="5"/>
        <v>1700</v>
      </c>
      <c r="L42" s="107"/>
      <c r="M42" s="107">
        <v>1000</v>
      </c>
      <c r="N42" s="107"/>
      <c r="O42" s="107"/>
      <c r="P42" s="107">
        <v>700</v>
      </c>
      <c r="Q42" s="107"/>
      <c r="R42" s="107"/>
      <c r="S42" s="107"/>
      <c r="T42" s="107"/>
      <c r="U42" s="107"/>
      <c r="V42" s="107"/>
      <c r="W42" s="107"/>
    </row>
    <row r="43" spans="1:23">
      <c r="A43" s="120">
        <v>3.9</v>
      </c>
      <c r="B43" s="121" t="s">
        <v>34</v>
      </c>
      <c r="C43" s="106" t="s">
        <v>291</v>
      </c>
      <c r="D43" s="51">
        <f t="shared" si="2"/>
        <v>8900</v>
      </c>
      <c r="E43" s="51">
        <f t="shared" si="3"/>
        <v>8400</v>
      </c>
      <c r="F43" s="107">
        <v>8400</v>
      </c>
      <c r="G43" s="107"/>
      <c r="H43" s="107"/>
      <c r="I43" s="107"/>
      <c r="J43" s="107"/>
      <c r="K43" s="51">
        <f t="shared" si="5"/>
        <v>500</v>
      </c>
      <c r="L43" s="107"/>
      <c r="M43" s="107">
        <v>500</v>
      </c>
      <c r="N43" s="107"/>
      <c r="O43" s="107"/>
      <c r="P43" s="107"/>
      <c r="Q43" s="107"/>
      <c r="R43" s="107"/>
      <c r="S43" s="107"/>
      <c r="T43" s="107"/>
      <c r="U43" s="107"/>
      <c r="V43" s="107"/>
      <c r="W43" s="107"/>
    </row>
    <row r="44" spans="1:23">
      <c r="A44" s="120">
        <v>3.1</v>
      </c>
      <c r="B44" s="121" t="s">
        <v>34</v>
      </c>
      <c r="C44" s="106" t="s">
        <v>92</v>
      </c>
      <c r="D44" s="51">
        <f t="shared" si="2"/>
        <v>4500</v>
      </c>
      <c r="E44" s="51">
        <f t="shared" si="3"/>
        <v>0</v>
      </c>
      <c r="F44" s="481"/>
      <c r="G44" s="481"/>
      <c r="H44" s="481"/>
      <c r="I44" s="481"/>
      <c r="J44" s="481"/>
      <c r="K44" s="51">
        <f t="shared" si="5"/>
        <v>4500</v>
      </c>
      <c r="L44" s="481">
        <v>4500</v>
      </c>
      <c r="M44" s="481"/>
      <c r="N44" s="481"/>
      <c r="O44" s="481"/>
      <c r="P44" s="481"/>
      <c r="Q44" s="481"/>
      <c r="R44" s="481"/>
      <c r="S44" s="481"/>
      <c r="T44" s="481"/>
      <c r="U44" s="481"/>
      <c r="V44" s="481"/>
      <c r="W44" s="481"/>
    </row>
    <row r="45" spans="1:23">
      <c r="A45" s="120">
        <v>3.11</v>
      </c>
      <c r="B45" s="121" t="s">
        <v>34</v>
      </c>
      <c r="C45" s="106" t="s">
        <v>520</v>
      </c>
      <c r="D45" s="51">
        <f t="shared" si="2"/>
        <v>1200</v>
      </c>
      <c r="E45" s="51">
        <f t="shared" si="3"/>
        <v>0</v>
      </c>
      <c r="F45" s="481"/>
      <c r="G45" s="481"/>
      <c r="H45" s="481"/>
      <c r="I45" s="481"/>
      <c r="J45" s="481"/>
      <c r="K45" s="51">
        <f t="shared" si="5"/>
        <v>1200</v>
      </c>
      <c r="L45" s="481"/>
      <c r="M45" s="481"/>
      <c r="N45" s="481"/>
      <c r="O45" s="481"/>
      <c r="P45" s="481">
        <v>1200</v>
      </c>
      <c r="Q45" s="481"/>
      <c r="R45" s="481"/>
      <c r="S45" s="481"/>
      <c r="T45" s="481"/>
      <c r="U45" s="481"/>
      <c r="V45" s="481"/>
      <c r="W45" s="481"/>
    </row>
    <row r="46" spans="1:23">
      <c r="A46" s="120">
        <v>3.12</v>
      </c>
      <c r="B46" s="121" t="s">
        <v>34</v>
      </c>
      <c r="C46" s="106" t="s">
        <v>521</v>
      </c>
      <c r="D46" s="51">
        <f t="shared" si="2"/>
        <v>4176</v>
      </c>
      <c r="E46" s="51">
        <f t="shared" si="3"/>
        <v>0</v>
      </c>
      <c r="F46" s="481"/>
      <c r="G46" s="481"/>
      <c r="H46" s="481"/>
      <c r="I46" s="481"/>
      <c r="J46" s="481"/>
      <c r="K46" s="51">
        <f t="shared" si="5"/>
        <v>4176</v>
      </c>
      <c r="L46" s="481"/>
      <c r="M46" s="481"/>
      <c r="N46" s="481"/>
      <c r="O46" s="481"/>
      <c r="P46" s="481">
        <v>4176</v>
      </c>
      <c r="Q46" s="481"/>
      <c r="R46" s="481"/>
      <c r="S46" s="481"/>
      <c r="T46" s="481"/>
      <c r="U46" s="481"/>
      <c r="V46" s="481"/>
      <c r="W46" s="481"/>
    </row>
    <row r="47" spans="1:23">
      <c r="A47" s="120">
        <v>3.13</v>
      </c>
      <c r="B47" s="121" t="s">
        <v>34</v>
      </c>
      <c r="C47" s="106" t="s">
        <v>522</v>
      </c>
      <c r="D47" s="51">
        <f t="shared" si="2"/>
        <v>8000</v>
      </c>
      <c r="E47" s="51">
        <f t="shared" si="3"/>
        <v>8000</v>
      </c>
      <c r="F47" s="481">
        <v>8000</v>
      </c>
      <c r="G47" s="481"/>
      <c r="H47" s="481"/>
      <c r="I47" s="481"/>
      <c r="J47" s="481"/>
      <c r="K47" s="51">
        <f t="shared" si="5"/>
        <v>0</v>
      </c>
      <c r="L47" s="481"/>
      <c r="M47" s="481"/>
      <c r="N47" s="481"/>
      <c r="O47" s="481"/>
      <c r="P47" s="481"/>
      <c r="Q47" s="481"/>
      <c r="R47" s="481"/>
      <c r="S47" s="481"/>
      <c r="T47" s="481"/>
      <c r="U47" s="481"/>
      <c r="V47" s="481"/>
      <c r="W47" s="481"/>
    </row>
    <row r="48" spans="1:23" s="3" customFormat="1" ht="21">
      <c r="A48" s="99" t="s">
        <v>581</v>
      </c>
      <c r="B48" s="98" t="s">
        <v>34</v>
      </c>
      <c r="C48" s="99" t="s">
        <v>223</v>
      </c>
      <c r="D48" s="100">
        <f t="shared" si="2"/>
        <v>229670</v>
      </c>
      <c r="E48" s="100">
        <f t="shared" si="3"/>
        <v>105000</v>
      </c>
      <c r="F48" s="101">
        <f>SUM(F49:F52)</f>
        <v>105000</v>
      </c>
      <c r="G48" s="101">
        <f t="shared" ref="G48:W48" si="9">SUM(G49:G52)</f>
        <v>0</v>
      </c>
      <c r="H48" s="101">
        <f t="shared" si="9"/>
        <v>0</v>
      </c>
      <c r="I48" s="101">
        <f t="shared" si="9"/>
        <v>0</v>
      </c>
      <c r="J48" s="101">
        <f t="shared" si="9"/>
        <v>0</v>
      </c>
      <c r="K48" s="100">
        <f t="shared" si="5"/>
        <v>124670</v>
      </c>
      <c r="L48" s="101">
        <f t="shared" si="9"/>
        <v>0</v>
      </c>
      <c r="M48" s="101">
        <f t="shared" si="9"/>
        <v>0</v>
      </c>
      <c r="N48" s="101">
        <f t="shared" si="9"/>
        <v>0</v>
      </c>
      <c r="O48" s="101">
        <f t="shared" si="9"/>
        <v>0</v>
      </c>
      <c r="P48" s="101">
        <f t="shared" si="9"/>
        <v>124670</v>
      </c>
      <c r="Q48" s="101">
        <f t="shared" si="9"/>
        <v>0</v>
      </c>
      <c r="R48" s="101">
        <f t="shared" si="9"/>
        <v>0</v>
      </c>
      <c r="S48" s="101">
        <f t="shared" si="9"/>
        <v>0</v>
      </c>
      <c r="T48" s="101">
        <f t="shared" si="9"/>
        <v>0</v>
      </c>
      <c r="U48" s="101">
        <f t="shared" si="9"/>
        <v>0</v>
      </c>
      <c r="V48" s="101">
        <f t="shared" si="9"/>
        <v>0</v>
      </c>
      <c r="W48" s="101">
        <f t="shared" si="9"/>
        <v>0</v>
      </c>
    </row>
    <row r="49" spans="1:23" s="127" customFormat="1" ht="45">
      <c r="A49" s="122">
        <v>1</v>
      </c>
      <c r="B49" s="103" t="s">
        <v>34</v>
      </c>
      <c r="C49" s="104" t="s">
        <v>321</v>
      </c>
      <c r="D49" s="51">
        <f t="shared" si="2"/>
        <v>12900</v>
      </c>
      <c r="E49" s="51">
        <f t="shared" si="3"/>
        <v>10000</v>
      </c>
      <c r="F49" s="123">
        <v>10000</v>
      </c>
      <c r="G49" s="107"/>
      <c r="H49" s="107"/>
      <c r="I49" s="107"/>
      <c r="J49" s="107"/>
      <c r="K49" s="51">
        <f t="shared" si="5"/>
        <v>2900</v>
      </c>
      <c r="L49" s="124"/>
      <c r="M49" s="124"/>
      <c r="N49" s="124"/>
      <c r="O49" s="124"/>
      <c r="P49" s="125">
        <v>2900</v>
      </c>
      <c r="Q49" s="124"/>
      <c r="R49" s="124"/>
      <c r="S49" s="124"/>
      <c r="T49" s="124"/>
      <c r="U49" s="126"/>
      <c r="V49" s="124"/>
      <c r="W49" s="124"/>
    </row>
    <row r="50" spans="1:23" s="127" customFormat="1" ht="33.75">
      <c r="A50" s="122">
        <v>2</v>
      </c>
      <c r="B50" s="103" t="s">
        <v>34</v>
      </c>
      <c r="C50" s="104" t="s">
        <v>322</v>
      </c>
      <c r="D50" s="51">
        <f t="shared" si="2"/>
        <v>50120</v>
      </c>
      <c r="E50" s="51">
        <f t="shared" si="3"/>
        <v>45000</v>
      </c>
      <c r="F50" s="123">
        <v>45000</v>
      </c>
      <c r="G50" s="107"/>
      <c r="H50" s="107"/>
      <c r="I50" s="107"/>
      <c r="J50" s="107"/>
      <c r="K50" s="51">
        <f t="shared" si="5"/>
        <v>5120</v>
      </c>
      <c r="L50" s="124"/>
      <c r="M50" s="124"/>
      <c r="N50" s="124"/>
      <c r="O50" s="124"/>
      <c r="P50" s="128">
        <v>5120</v>
      </c>
      <c r="Q50" s="124"/>
      <c r="R50" s="124"/>
      <c r="S50" s="124"/>
      <c r="T50" s="124"/>
      <c r="U50" s="126"/>
      <c r="V50" s="124"/>
      <c r="W50" s="124"/>
    </row>
    <row r="51" spans="1:23" s="1" customFormat="1" ht="33.75">
      <c r="A51" s="122">
        <v>3</v>
      </c>
      <c r="B51" s="103" t="s">
        <v>34</v>
      </c>
      <c r="C51" s="104" t="s">
        <v>323</v>
      </c>
      <c r="D51" s="51">
        <f t="shared" si="2"/>
        <v>30000</v>
      </c>
      <c r="E51" s="51">
        <f t="shared" si="3"/>
        <v>30000</v>
      </c>
      <c r="F51" s="123">
        <v>30000</v>
      </c>
      <c r="G51" s="107"/>
      <c r="H51" s="107"/>
      <c r="I51" s="107"/>
      <c r="J51" s="107"/>
      <c r="K51" s="51">
        <f t="shared" si="5"/>
        <v>0</v>
      </c>
      <c r="L51" s="107"/>
      <c r="M51" s="107"/>
      <c r="N51" s="107"/>
      <c r="O51" s="107"/>
      <c r="P51" s="107"/>
      <c r="Q51" s="107"/>
      <c r="R51" s="107"/>
      <c r="S51" s="107"/>
      <c r="T51" s="107"/>
      <c r="U51" s="107"/>
      <c r="V51" s="107"/>
      <c r="W51" s="107"/>
    </row>
    <row r="52" spans="1:23" s="1" customFormat="1" ht="22.5">
      <c r="A52" s="122">
        <v>4</v>
      </c>
      <c r="B52" s="103" t="s">
        <v>34</v>
      </c>
      <c r="C52" s="104" t="s">
        <v>324</v>
      </c>
      <c r="D52" s="51">
        <f t="shared" si="2"/>
        <v>136650</v>
      </c>
      <c r="E52" s="51">
        <f t="shared" si="3"/>
        <v>20000</v>
      </c>
      <c r="F52" s="123">
        <v>20000</v>
      </c>
      <c r="G52" s="107"/>
      <c r="H52" s="107"/>
      <c r="I52" s="107"/>
      <c r="J52" s="107"/>
      <c r="K52" s="51">
        <f t="shared" si="5"/>
        <v>116650</v>
      </c>
      <c r="L52" s="124"/>
      <c r="M52" s="124"/>
      <c r="N52" s="124"/>
      <c r="O52" s="124"/>
      <c r="P52" s="125">
        <v>116650</v>
      </c>
      <c r="Q52" s="124"/>
      <c r="R52" s="124"/>
      <c r="S52" s="124"/>
      <c r="T52" s="124"/>
      <c r="U52" s="126"/>
      <c r="V52" s="124"/>
      <c r="W52" s="124"/>
    </row>
    <row r="53" spans="1:23" s="35" customFormat="1" ht="21">
      <c r="A53" s="95">
        <v>2</v>
      </c>
      <c r="B53" s="94" t="s">
        <v>34</v>
      </c>
      <c r="C53" s="129" t="s">
        <v>234</v>
      </c>
      <c r="D53" s="130">
        <f t="shared" si="2"/>
        <v>9963277.6459999997</v>
      </c>
      <c r="E53" s="130">
        <f t="shared" si="3"/>
        <v>2366000</v>
      </c>
      <c r="F53" s="96">
        <f>F54+F79+F98+F119</f>
        <v>2366000</v>
      </c>
      <c r="G53" s="96">
        <f t="shared" ref="G53:W53" si="10">G54+G79+G98+G119</f>
        <v>0</v>
      </c>
      <c r="H53" s="96">
        <f t="shared" si="10"/>
        <v>0</v>
      </c>
      <c r="I53" s="96">
        <f t="shared" si="10"/>
        <v>0</v>
      </c>
      <c r="J53" s="96">
        <f t="shared" si="10"/>
        <v>0</v>
      </c>
      <c r="K53" s="130">
        <f t="shared" si="5"/>
        <v>7597277.6459999997</v>
      </c>
      <c r="L53" s="96">
        <f t="shared" si="10"/>
        <v>527819</v>
      </c>
      <c r="M53" s="96">
        <f t="shared" si="10"/>
        <v>132370</v>
      </c>
      <c r="N53" s="96">
        <f t="shared" si="10"/>
        <v>221932</v>
      </c>
      <c r="O53" s="96">
        <f t="shared" si="10"/>
        <v>584127</v>
      </c>
      <c r="P53" s="96">
        <f t="shared" si="10"/>
        <v>530032</v>
      </c>
      <c r="Q53" s="96">
        <f t="shared" si="10"/>
        <v>168443</v>
      </c>
      <c r="R53" s="96">
        <f t="shared" si="10"/>
        <v>717987.64599999995</v>
      </c>
      <c r="S53" s="96">
        <f t="shared" si="10"/>
        <v>512082</v>
      </c>
      <c r="T53" s="96">
        <f t="shared" si="10"/>
        <v>1000885</v>
      </c>
      <c r="U53" s="96">
        <f t="shared" si="10"/>
        <v>405390</v>
      </c>
      <c r="V53" s="96">
        <f t="shared" si="10"/>
        <v>423510</v>
      </c>
      <c r="W53" s="96">
        <f t="shared" si="10"/>
        <v>2372700</v>
      </c>
    </row>
    <row r="54" spans="1:23" s="3" customFormat="1" ht="10.5">
      <c r="A54" s="131" t="s">
        <v>251</v>
      </c>
      <c r="B54" s="98" t="s">
        <v>34</v>
      </c>
      <c r="C54" s="132" t="s">
        <v>18</v>
      </c>
      <c r="D54" s="100">
        <f t="shared" si="2"/>
        <v>3847022.6459999997</v>
      </c>
      <c r="E54" s="100">
        <f t="shared" si="3"/>
        <v>690000</v>
      </c>
      <c r="F54" s="101">
        <f>SUM(F55:F78)</f>
        <v>690000</v>
      </c>
      <c r="G54" s="101">
        <f t="shared" ref="G54:W54" si="11">SUM(G55:G78)</f>
        <v>0</v>
      </c>
      <c r="H54" s="101">
        <f t="shared" si="11"/>
        <v>0</v>
      </c>
      <c r="I54" s="101">
        <f t="shared" si="11"/>
        <v>0</v>
      </c>
      <c r="J54" s="101">
        <f t="shared" si="11"/>
        <v>0</v>
      </c>
      <c r="K54" s="100">
        <f t="shared" si="5"/>
        <v>3157022.6459999997</v>
      </c>
      <c r="L54" s="101">
        <f t="shared" si="11"/>
        <v>468096</v>
      </c>
      <c r="M54" s="101">
        <f t="shared" si="11"/>
        <v>38912</v>
      </c>
      <c r="N54" s="101">
        <f t="shared" si="11"/>
        <v>49515</v>
      </c>
      <c r="O54" s="101">
        <f t="shared" si="11"/>
        <v>59732</v>
      </c>
      <c r="P54" s="101">
        <f t="shared" si="11"/>
        <v>180946</v>
      </c>
      <c r="Q54" s="101">
        <f t="shared" si="11"/>
        <v>20720</v>
      </c>
      <c r="R54" s="101">
        <f t="shared" si="11"/>
        <v>85877.646000000008</v>
      </c>
      <c r="S54" s="101">
        <f t="shared" si="11"/>
        <v>28900</v>
      </c>
      <c r="T54" s="101">
        <f t="shared" si="11"/>
        <v>93904</v>
      </c>
      <c r="U54" s="101">
        <f t="shared" si="11"/>
        <v>73610</v>
      </c>
      <c r="V54" s="101">
        <f t="shared" si="11"/>
        <v>31580</v>
      </c>
      <c r="W54" s="101">
        <f t="shared" si="11"/>
        <v>2025230</v>
      </c>
    </row>
    <row r="55" spans="1:23" s="134" customFormat="1" ht="22.5">
      <c r="A55" s="122">
        <v>1</v>
      </c>
      <c r="B55" s="103" t="s">
        <v>34</v>
      </c>
      <c r="C55" s="133" t="s">
        <v>386</v>
      </c>
      <c r="D55" s="51">
        <f t="shared" si="2"/>
        <v>143336</v>
      </c>
      <c r="E55" s="51">
        <f t="shared" si="3"/>
        <v>96000</v>
      </c>
      <c r="F55" s="105">
        <v>96000</v>
      </c>
      <c r="G55" s="123"/>
      <c r="H55" s="123"/>
      <c r="I55" s="123"/>
      <c r="J55" s="123"/>
      <c r="K55" s="51">
        <f t="shared" si="5"/>
        <v>47336</v>
      </c>
      <c r="L55" s="105"/>
      <c r="M55" s="105"/>
      <c r="N55" s="105">
        <v>3600</v>
      </c>
      <c r="O55" s="105">
        <v>4800</v>
      </c>
      <c r="P55" s="105">
        <v>6896</v>
      </c>
      <c r="Q55" s="105">
        <v>4800</v>
      </c>
      <c r="R55" s="105">
        <v>3040</v>
      </c>
      <c r="S55" s="105">
        <v>1760</v>
      </c>
      <c r="T55" s="105">
        <v>12760</v>
      </c>
      <c r="U55" s="105">
        <v>4800</v>
      </c>
      <c r="V55" s="105">
        <v>2000</v>
      </c>
      <c r="W55" s="105">
        <v>2880</v>
      </c>
    </row>
    <row r="56" spans="1:23" s="134" customFormat="1" ht="33.75">
      <c r="A56" s="122">
        <v>2</v>
      </c>
      <c r="B56" s="103" t="s">
        <v>34</v>
      </c>
      <c r="C56" s="133" t="s">
        <v>387</v>
      </c>
      <c r="D56" s="51">
        <f t="shared" si="2"/>
        <v>194970</v>
      </c>
      <c r="E56" s="51">
        <f t="shared" si="3"/>
        <v>94000</v>
      </c>
      <c r="F56" s="105">
        <v>94000</v>
      </c>
      <c r="G56" s="123"/>
      <c r="H56" s="123"/>
      <c r="I56" s="123"/>
      <c r="J56" s="123"/>
      <c r="K56" s="51">
        <f t="shared" si="5"/>
        <v>100970</v>
      </c>
      <c r="L56" s="105"/>
      <c r="M56" s="105">
        <v>5000</v>
      </c>
      <c r="N56" s="105"/>
      <c r="O56" s="105">
        <v>1040</v>
      </c>
      <c r="P56" s="105"/>
      <c r="Q56" s="105">
        <v>8640</v>
      </c>
      <c r="R56" s="105">
        <v>32460</v>
      </c>
      <c r="S56" s="105">
        <v>9970</v>
      </c>
      <c r="T56" s="105">
        <v>12760</v>
      </c>
      <c r="U56" s="105">
        <v>25200</v>
      </c>
      <c r="V56" s="105">
        <v>1440</v>
      </c>
      <c r="W56" s="105">
        <v>4460</v>
      </c>
    </row>
    <row r="57" spans="1:23" s="1" customFormat="1" ht="22.5">
      <c r="A57" s="122">
        <v>3</v>
      </c>
      <c r="B57" s="103" t="s">
        <v>34</v>
      </c>
      <c r="C57" s="482" t="s">
        <v>388</v>
      </c>
      <c r="D57" s="51">
        <f t="shared" si="2"/>
        <v>50000</v>
      </c>
      <c r="E57" s="51">
        <f t="shared" si="3"/>
        <v>30000</v>
      </c>
      <c r="F57" s="135">
        <v>30000</v>
      </c>
      <c r="G57" s="135"/>
      <c r="H57" s="135"/>
      <c r="I57" s="135"/>
      <c r="J57" s="135"/>
      <c r="K57" s="51">
        <f t="shared" si="5"/>
        <v>20000</v>
      </c>
      <c r="L57" s="135"/>
      <c r="M57" s="135"/>
      <c r="N57" s="135"/>
      <c r="O57" s="135"/>
      <c r="P57" s="135">
        <v>20000</v>
      </c>
      <c r="Q57" s="135"/>
      <c r="R57" s="135"/>
      <c r="S57" s="135"/>
      <c r="T57" s="135"/>
      <c r="U57" s="135"/>
      <c r="V57" s="135"/>
      <c r="W57" s="135"/>
    </row>
    <row r="58" spans="1:23" s="1" customFormat="1" ht="33.75">
      <c r="A58" s="122">
        <v>4</v>
      </c>
      <c r="B58" s="103" t="s">
        <v>34</v>
      </c>
      <c r="C58" s="482" t="s">
        <v>35</v>
      </c>
      <c r="D58" s="51">
        <f t="shared" si="2"/>
        <v>93580</v>
      </c>
      <c r="E58" s="51">
        <f t="shared" si="3"/>
        <v>17700</v>
      </c>
      <c r="F58" s="115">
        <v>17700</v>
      </c>
      <c r="G58" s="135"/>
      <c r="H58" s="135"/>
      <c r="I58" s="135"/>
      <c r="J58" s="135"/>
      <c r="K58" s="51">
        <f t="shared" si="5"/>
        <v>75880</v>
      </c>
      <c r="L58" s="136">
        <v>10360</v>
      </c>
      <c r="M58" s="115">
        <v>6600</v>
      </c>
      <c r="N58" s="137">
        <v>20740</v>
      </c>
      <c r="O58" s="115">
        <v>4800</v>
      </c>
      <c r="P58" s="138">
        <v>2180</v>
      </c>
      <c r="Q58" s="137">
        <v>1470</v>
      </c>
      <c r="R58" s="115">
        <v>7300</v>
      </c>
      <c r="S58" s="137">
        <v>1620</v>
      </c>
      <c r="T58" s="136">
        <v>12760</v>
      </c>
      <c r="U58" s="137">
        <v>3350</v>
      </c>
      <c r="V58" s="137">
        <v>2400</v>
      </c>
      <c r="W58" s="137">
        <v>2300</v>
      </c>
    </row>
    <row r="59" spans="1:23" s="1" customFormat="1" ht="22.5">
      <c r="A59" s="122">
        <v>5</v>
      </c>
      <c r="B59" s="103" t="s">
        <v>34</v>
      </c>
      <c r="C59" s="482" t="s">
        <v>389</v>
      </c>
      <c r="D59" s="51">
        <f t="shared" si="2"/>
        <v>29823.3</v>
      </c>
      <c r="E59" s="51">
        <f t="shared" si="3"/>
        <v>3650</v>
      </c>
      <c r="F59" s="115">
        <v>3650</v>
      </c>
      <c r="G59" s="135"/>
      <c r="H59" s="135"/>
      <c r="I59" s="135"/>
      <c r="J59" s="135"/>
      <c r="K59" s="51">
        <f t="shared" si="5"/>
        <v>26173.3</v>
      </c>
      <c r="L59" s="136"/>
      <c r="M59" s="115">
        <v>2000</v>
      </c>
      <c r="N59" s="137"/>
      <c r="O59" s="115">
        <v>2772</v>
      </c>
      <c r="P59" s="138"/>
      <c r="Q59" s="137"/>
      <c r="R59" s="139">
        <v>17851.3</v>
      </c>
      <c r="S59" s="137"/>
      <c r="T59" s="136">
        <v>250</v>
      </c>
      <c r="U59" s="137">
        <v>500</v>
      </c>
      <c r="V59" s="137">
        <v>1800</v>
      </c>
      <c r="W59" s="137">
        <v>1000</v>
      </c>
    </row>
    <row r="60" spans="1:23" s="1" customFormat="1">
      <c r="A60" s="122">
        <v>6</v>
      </c>
      <c r="B60" s="103" t="s">
        <v>34</v>
      </c>
      <c r="C60" s="482" t="s">
        <v>390</v>
      </c>
      <c r="D60" s="51">
        <f t="shared" si="2"/>
        <v>27175</v>
      </c>
      <c r="E60" s="51">
        <f t="shared" si="3"/>
        <v>3650</v>
      </c>
      <c r="F60" s="115">
        <v>3650</v>
      </c>
      <c r="G60" s="135"/>
      <c r="H60" s="135"/>
      <c r="I60" s="135"/>
      <c r="J60" s="135"/>
      <c r="K60" s="51">
        <f t="shared" si="5"/>
        <v>23525</v>
      </c>
      <c r="L60" s="136">
        <v>505</v>
      </c>
      <c r="M60" s="115">
        <v>500</v>
      </c>
      <c r="N60" s="137">
        <v>3300</v>
      </c>
      <c r="O60" s="115">
        <v>6400</v>
      </c>
      <c r="P60" s="138"/>
      <c r="Q60" s="137"/>
      <c r="R60" s="115"/>
      <c r="S60" s="137">
        <v>820</v>
      </c>
      <c r="T60" s="136">
        <v>2000</v>
      </c>
      <c r="U60" s="137">
        <v>10000</v>
      </c>
      <c r="V60" s="137"/>
      <c r="W60" s="137"/>
    </row>
    <row r="61" spans="1:23" s="1" customFormat="1" ht="22.5">
      <c r="A61" s="122">
        <v>7</v>
      </c>
      <c r="B61" s="103" t="s">
        <v>34</v>
      </c>
      <c r="C61" s="482" t="s">
        <v>37</v>
      </c>
      <c r="D61" s="51">
        <f t="shared" si="2"/>
        <v>2006800</v>
      </c>
      <c r="E61" s="51">
        <f t="shared" si="3"/>
        <v>5000</v>
      </c>
      <c r="F61" s="115">
        <v>5000</v>
      </c>
      <c r="G61" s="135"/>
      <c r="H61" s="135"/>
      <c r="I61" s="135"/>
      <c r="J61" s="135"/>
      <c r="K61" s="51">
        <f t="shared" si="5"/>
        <v>2001800</v>
      </c>
      <c r="L61" s="136"/>
      <c r="M61" s="115">
        <v>1800</v>
      </c>
      <c r="N61" s="137"/>
      <c r="O61" s="115"/>
      <c r="P61" s="399"/>
      <c r="Q61" s="137"/>
      <c r="R61" s="115"/>
      <c r="S61" s="137"/>
      <c r="T61" s="136"/>
      <c r="U61" s="137"/>
      <c r="V61" s="137"/>
      <c r="W61" s="137">
        <v>2000000</v>
      </c>
    </row>
    <row r="62" spans="1:23" s="1" customFormat="1" ht="33.75">
      <c r="A62" s="122">
        <v>8</v>
      </c>
      <c r="B62" s="103" t="s">
        <v>34</v>
      </c>
      <c r="C62" s="483" t="s">
        <v>39</v>
      </c>
      <c r="D62" s="51">
        <f t="shared" si="2"/>
        <v>7840</v>
      </c>
      <c r="E62" s="51">
        <f t="shared" si="3"/>
        <v>0</v>
      </c>
      <c r="F62" s="115"/>
      <c r="G62" s="135"/>
      <c r="H62" s="135"/>
      <c r="I62" s="135"/>
      <c r="J62" s="135"/>
      <c r="K62" s="51">
        <f t="shared" si="5"/>
        <v>7840</v>
      </c>
      <c r="L62" s="136">
        <v>750</v>
      </c>
      <c r="M62" s="115">
        <v>90</v>
      </c>
      <c r="N62" s="137">
        <v>750</v>
      </c>
      <c r="O62" s="115">
        <v>750</v>
      </c>
      <c r="P62" s="138">
        <v>600</v>
      </c>
      <c r="Q62" s="137">
        <v>450</v>
      </c>
      <c r="R62" s="115">
        <v>900</v>
      </c>
      <c r="S62" s="137">
        <v>450</v>
      </c>
      <c r="T62" s="136">
        <v>1000</v>
      </c>
      <c r="U62" s="137">
        <v>600</v>
      </c>
      <c r="V62" s="137">
        <v>900</v>
      </c>
      <c r="W62" s="137">
        <v>600</v>
      </c>
    </row>
    <row r="63" spans="1:23" s="1" customFormat="1" ht="22.5">
      <c r="A63" s="122">
        <v>9</v>
      </c>
      <c r="B63" s="103" t="s">
        <v>34</v>
      </c>
      <c r="C63" s="483" t="s">
        <v>40</v>
      </c>
      <c r="D63" s="51">
        <f t="shared" si="2"/>
        <v>57600</v>
      </c>
      <c r="E63" s="51">
        <f t="shared" si="3"/>
        <v>0</v>
      </c>
      <c r="F63" s="115"/>
      <c r="G63" s="135"/>
      <c r="H63" s="135"/>
      <c r="I63" s="135"/>
      <c r="J63" s="135"/>
      <c r="K63" s="51">
        <f t="shared" si="5"/>
        <v>57600</v>
      </c>
      <c r="L63" s="136">
        <v>5760</v>
      </c>
      <c r="M63" s="115">
        <v>2880</v>
      </c>
      <c r="N63" s="137">
        <v>3600</v>
      </c>
      <c r="O63" s="115">
        <v>7200</v>
      </c>
      <c r="P63" s="138">
        <v>6000</v>
      </c>
      <c r="Q63" s="137">
        <v>3360</v>
      </c>
      <c r="R63" s="115">
        <v>6840</v>
      </c>
      <c r="S63" s="137">
        <v>3960</v>
      </c>
      <c r="T63" s="136">
        <v>6720</v>
      </c>
      <c r="U63" s="137">
        <v>4800</v>
      </c>
      <c r="V63" s="137">
        <v>3240</v>
      </c>
      <c r="W63" s="137">
        <v>3240</v>
      </c>
    </row>
    <row r="64" spans="1:23" s="1" customFormat="1" ht="33.75">
      <c r="A64" s="122">
        <v>10</v>
      </c>
      <c r="B64" s="103" t="s">
        <v>34</v>
      </c>
      <c r="C64" s="483" t="s">
        <v>41</v>
      </c>
      <c r="D64" s="51">
        <f t="shared" si="2"/>
        <v>89550</v>
      </c>
      <c r="E64" s="51">
        <f t="shared" si="3"/>
        <v>0</v>
      </c>
      <c r="F64" s="115"/>
      <c r="G64" s="135"/>
      <c r="H64" s="135"/>
      <c r="I64" s="135"/>
      <c r="J64" s="135"/>
      <c r="K64" s="51">
        <f t="shared" si="5"/>
        <v>89550</v>
      </c>
      <c r="L64" s="136">
        <v>10800</v>
      </c>
      <c r="M64" s="115">
        <v>1450</v>
      </c>
      <c r="N64" s="137">
        <v>6600</v>
      </c>
      <c r="O64" s="115">
        <v>13200</v>
      </c>
      <c r="P64" s="138">
        <v>8220</v>
      </c>
      <c r="Q64" s="137">
        <v>2000</v>
      </c>
      <c r="R64" s="115">
        <v>8400</v>
      </c>
      <c r="S64" s="137">
        <v>8400</v>
      </c>
      <c r="T64" s="136">
        <v>15480</v>
      </c>
      <c r="U64" s="137">
        <v>4800</v>
      </c>
      <c r="V64" s="137">
        <v>6000</v>
      </c>
      <c r="W64" s="137">
        <v>4200</v>
      </c>
    </row>
    <row r="65" spans="1:23" s="1" customFormat="1" ht="33.75">
      <c r="A65" s="122">
        <v>11</v>
      </c>
      <c r="B65" s="103" t="s">
        <v>34</v>
      </c>
      <c r="C65" s="483" t="s">
        <v>42</v>
      </c>
      <c r="D65" s="51">
        <f t="shared" si="2"/>
        <v>11955</v>
      </c>
      <c r="E65" s="51">
        <f t="shared" si="3"/>
        <v>0</v>
      </c>
      <c r="F65" s="115"/>
      <c r="G65" s="135"/>
      <c r="H65" s="135"/>
      <c r="I65" s="135"/>
      <c r="J65" s="135"/>
      <c r="K65" s="51">
        <f t="shared" si="5"/>
        <v>11955</v>
      </c>
      <c r="L65" s="136"/>
      <c r="M65" s="115">
        <v>510</v>
      </c>
      <c r="N65" s="137">
        <v>1000</v>
      </c>
      <c r="O65" s="115">
        <v>1800</v>
      </c>
      <c r="P65" s="138">
        <v>1450</v>
      </c>
      <c r="Q65" s="137"/>
      <c r="R65" s="115">
        <v>1200</v>
      </c>
      <c r="S65" s="137">
        <v>200</v>
      </c>
      <c r="T65" s="136">
        <v>4135</v>
      </c>
      <c r="U65" s="137">
        <v>960</v>
      </c>
      <c r="V65" s="137">
        <v>400</v>
      </c>
      <c r="W65" s="137">
        <v>300</v>
      </c>
    </row>
    <row r="66" spans="1:23" s="1" customFormat="1">
      <c r="A66" s="122">
        <v>12</v>
      </c>
      <c r="B66" s="103" t="s">
        <v>34</v>
      </c>
      <c r="C66" s="484" t="s">
        <v>43</v>
      </c>
      <c r="D66" s="51">
        <f t="shared" si="2"/>
        <v>1200</v>
      </c>
      <c r="E66" s="51">
        <f t="shared" si="3"/>
        <v>0</v>
      </c>
      <c r="F66" s="115"/>
      <c r="G66" s="135"/>
      <c r="H66" s="135"/>
      <c r="I66" s="135"/>
      <c r="J66" s="135"/>
      <c r="K66" s="51">
        <f t="shared" si="5"/>
        <v>1200</v>
      </c>
      <c r="L66" s="136"/>
      <c r="M66" s="115">
        <v>1200</v>
      </c>
      <c r="N66" s="137"/>
      <c r="O66" s="115"/>
      <c r="P66" s="138"/>
      <c r="Q66" s="137"/>
      <c r="R66" s="115"/>
      <c r="S66" s="137"/>
      <c r="T66" s="136"/>
      <c r="U66" s="137"/>
      <c r="V66" s="137"/>
      <c r="W66" s="137"/>
    </row>
    <row r="67" spans="1:23" s="1" customFormat="1" ht="22.5">
      <c r="A67" s="122">
        <v>13</v>
      </c>
      <c r="B67" s="103" t="s">
        <v>34</v>
      </c>
      <c r="C67" s="240" t="s">
        <v>44</v>
      </c>
      <c r="D67" s="51">
        <f t="shared" si="2"/>
        <v>2625</v>
      </c>
      <c r="E67" s="51">
        <f t="shared" si="3"/>
        <v>0</v>
      </c>
      <c r="F67" s="115"/>
      <c r="G67" s="135"/>
      <c r="H67" s="135"/>
      <c r="I67" s="135"/>
      <c r="J67" s="135"/>
      <c r="K67" s="51">
        <f t="shared" si="5"/>
        <v>2625</v>
      </c>
      <c r="L67" s="136">
        <v>595</v>
      </c>
      <c r="M67" s="115">
        <v>70</v>
      </c>
      <c r="N67" s="137"/>
      <c r="O67" s="115">
        <v>770</v>
      </c>
      <c r="P67" s="138"/>
      <c r="Q67" s="137"/>
      <c r="R67" s="115">
        <v>490</v>
      </c>
      <c r="S67" s="137"/>
      <c r="T67" s="136">
        <v>420</v>
      </c>
      <c r="U67" s="137">
        <v>280</v>
      </c>
      <c r="V67" s="137"/>
      <c r="W67" s="137"/>
    </row>
    <row r="68" spans="1:23" s="1" customFormat="1">
      <c r="A68" s="122">
        <v>14</v>
      </c>
      <c r="B68" s="103" t="s">
        <v>34</v>
      </c>
      <c r="C68" s="240" t="s">
        <v>45</v>
      </c>
      <c r="D68" s="51">
        <f t="shared" si="2"/>
        <v>8060</v>
      </c>
      <c r="E68" s="51">
        <f t="shared" si="3"/>
        <v>0</v>
      </c>
      <c r="F68" s="115"/>
      <c r="G68" s="135"/>
      <c r="H68" s="135"/>
      <c r="I68" s="135"/>
      <c r="J68" s="135"/>
      <c r="K68" s="51">
        <f t="shared" si="5"/>
        <v>8060</v>
      </c>
      <c r="L68" s="136">
        <v>558</v>
      </c>
      <c r="M68" s="115">
        <v>62</v>
      </c>
      <c r="N68" s="137"/>
      <c r="O68" s="115"/>
      <c r="P68" s="138"/>
      <c r="Q68" s="137"/>
      <c r="R68" s="115"/>
      <c r="S68" s="137"/>
      <c r="T68" s="136">
        <v>7440</v>
      </c>
      <c r="U68" s="137"/>
      <c r="V68" s="137"/>
      <c r="W68" s="137"/>
    </row>
    <row r="69" spans="1:23" s="1" customFormat="1">
      <c r="A69" s="122">
        <v>15</v>
      </c>
      <c r="B69" s="103" t="s">
        <v>34</v>
      </c>
      <c r="C69" s="183" t="s">
        <v>46</v>
      </c>
      <c r="D69" s="51">
        <f t="shared" si="2"/>
        <v>101200</v>
      </c>
      <c r="E69" s="51">
        <f t="shared" si="3"/>
        <v>0</v>
      </c>
      <c r="F69" s="115"/>
      <c r="G69" s="135"/>
      <c r="H69" s="135"/>
      <c r="I69" s="135"/>
      <c r="J69" s="135"/>
      <c r="K69" s="51">
        <f t="shared" si="5"/>
        <v>101200</v>
      </c>
      <c r="L69" s="136"/>
      <c r="M69" s="115">
        <v>1200</v>
      </c>
      <c r="N69" s="137"/>
      <c r="O69" s="115"/>
      <c r="P69" s="399">
        <v>100000</v>
      </c>
      <c r="Q69" s="137"/>
      <c r="R69" s="115"/>
      <c r="S69" s="137"/>
      <c r="T69" s="136"/>
      <c r="U69" s="137"/>
      <c r="V69" s="137"/>
      <c r="W69" s="137"/>
    </row>
    <row r="70" spans="1:23" s="1" customFormat="1">
      <c r="A70" s="122">
        <v>16</v>
      </c>
      <c r="B70" s="103" t="s">
        <v>34</v>
      </c>
      <c r="C70" s="202" t="s">
        <v>47</v>
      </c>
      <c r="D70" s="51">
        <f t="shared" si="2"/>
        <v>50884</v>
      </c>
      <c r="E70" s="51">
        <f t="shared" si="3"/>
        <v>0</v>
      </c>
      <c r="F70" s="115"/>
      <c r="G70" s="135"/>
      <c r="H70" s="135"/>
      <c r="I70" s="135"/>
      <c r="J70" s="135"/>
      <c r="K70" s="51">
        <f t="shared" si="5"/>
        <v>50884</v>
      </c>
      <c r="L70" s="136"/>
      <c r="M70" s="115">
        <v>8400</v>
      </c>
      <c r="N70" s="137"/>
      <c r="O70" s="115">
        <v>7200</v>
      </c>
      <c r="P70" s="138"/>
      <c r="Q70" s="137"/>
      <c r="R70" s="115">
        <v>3040</v>
      </c>
      <c r="S70" s="137"/>
      <c r="T70" s="136">
        <v>11724</v>
      </c>
      <c r="U70" s="137">
        <v>4320</v>
      </c>
      <c r="V70" s="137">
        <v>10800</v>
      </c>
      <c r="W70" s="137">
        <v>5400</v>
      </c>
    </row>
    <row r="71" spans="1:23" s="1" customFormat="1">
      <c r="A71" s="122">
        <v>17</v>
      </c>
      <c r="B71" s="103" t="s">
        <v>34</v>
      </c>
      <c r="C71" s="202" t="s">
        <v>48</v>
      </c>
      <c r="D71" s="51">
        <f t="shared" si="2"/>
        <v>11800</v>
      </c>
      <c r="E71" s="51">
        <f t="shared" si="3"/>
        <v>0</v>
      </c>
      <c r="F71" s="115"/>
      <c r="G71" s="135"/>
      <c r="H71" s="135"/>
      <c r="I71" s="135"/>
      <c r="J71" s="135"/>
      <c r="K71" s="51">
        <f t="shared" si="5"/>
        <v>11800</v>
      </c>
      <c r="L71" s="136"/>
      <c r="M71" s="115">
        <v>200</v>
      </c>
      <c r="N71" s="137"/>
      <c r="O71" s="115">
        <v>4000</v>
      </c>
      <c r="P71" s="138"/>
      <c r="Q71" s="137"/>
      <c r="R71" s="115"/>
      <c r="S71" s="137"/>
      <c r="T71" s="136">
        <v>3000</v>
      </c>
      <c r="U71" s="137">
        <v>2000</v>
      </c>
      <c r="V71" s="137">
        <v>2600</v>
      </c>
      <c r="W71" s="137"/>
    </row>
    <row r="72" spans="1:23" s="1" customFormat="1">
      <c r="A72" s="122">
        <v>18</v>
      </c>
      <c r="B72" s="103" t="s">
        <v>34</v>
      </c>
      <c r="C72" s="202" t="s">
        <v>49</v>
      </c>
      <c r="D72" s="51">
        <f t="shared" si="2"/>
        <v>21245</v>
      </c>
      <c r="E72" s="51">
        <f t="shared" si="3"/>
        <v>5000</v>
      </c>
      <c r="F72" s="115">
        <v>5000</v>
      </c>
      <c r="G72" s="135"/>
      <c r="H72" s="135"/>
      <c r="I72" s="135"/>
      <c r="J72" s="135"/>
      <c r="K72" s="51">
        <f t="shared" si="5"/>
        <v>16245</v>
      </c>
      <c r="L72" s="136"/>
      <c r="M72" s="115">
        <v>3300</v>
      </c>
      <c r="N72" s="137">
        <v>2225</v>
      </c>
      <c r="O72" s="115"/>
      <c r="P72" s="138"/>
      <c r="Q72" s="137"/>
      <c r="R72" s="115"/>
      <c r="S72" s="137">
        <v>1720</v>
      </c>
      <c r="T72" s="136"/>
      <c r="U72" s="137">
        <v>9000</v>
      </c>
      <c r="V72" s="137"/>
      <c r="W72" s="137"/>
    </row>
    <row r="73" spans="1:23" s="1" customFormat="1">
      <c r="A73" s="122">
        <v>19</v>
      </c>
      <c r="B73" s="103" t="s">
        <v>34</v>
      </c>
      <c r="C73" s="143" t="s">
        <v>209</v>
      </c>
      <c r="D73" s="51">
        <f t="shared" si="2"/>
        <v>31200</v>
      </c>
      <c r="E73" s="51">
        <f t="shared" si="3"/>
        <v>0</v>
      </c>
      <c r="F73" s="115"/>
      <c r="G73" s="135"/>
      <c r="H73" s="135"/>
      <c r="I73" s="135"/>
      <c r="J73" s="135"/>
      <c r="K73" s="51">
        <f t="shared" si="5"/>
        <v>31200</v>
      </c>
      <c r="L73" s="136"/>
      <c r="M73" s="115">
        <v>1200</v>
      </c>
      <c r="N73" s="137"/>
      <c r="O73" s="115"/>
      <c r="P73" s="399">
        <v>30000</v>
      </c>
      <c r="Q73" s="137"/>
      <c r="R73" s="115"/>
      <c r="S73" s="137"/>
      <c r="T73" s="136"/>
      <c r="U73" s="137"/>
      <c r="V73" s="137"/>
      <c r="W73" s="137"/>
    </row>
    <row r="74" spans="1:23" s="1" customFormat="1">
      <c r="A74" s="122">
        <v>20</v>
      </c>
      <c r="B74" s="103" t="s">
        <v>34</v>
      </c>
      <c r="C74" s="485" t="s">
        <v>307</v>
      </c>
      <c r="D74" s="51">
        <f t="shared" ref="D74:D137" si="12">E74+K74</f>
        <v>5805</v>
      </c>
      <c r="E74" s="51">
        <f t="shared" ref="E74:E137" si="13">SUM(F74:J74)</f>
        <v>0</v>
      </c>
      <c r="F74" s="115"/>
      <c r="G74" s="135"/>
      <c r="H74" s="135"/>
      <c r="I74" s="135"/>
      <c r="J74" s="135"/>
      <c r="K74" s="51">
        <f t="shared" ref="K74:K137" si="14">SUM(L74:W74)</f>
        <v>5805</v>
      </c>
      <c r="L74" s="136"/>
      <c r="M74" s="115">
        <v>1350</v>
      </c>
      <c r="N74" s="137"/>
      <c r="O74" s="115">
        <v>3000</v>
      </c>
      <c r="P74" s="399"/>
      <c r="Q74" s="137"/>
      <c r="R74" s="115"/>
      <c r="S74" s="137"/>
      <c r="T74" s="136">
        <v>1455</v>
      </c>
      <c r="U74" s="137"/>
      <c r="V74" s="137"/>
      <c r="W74" s="137"/>
    </row>
    <row r="75" spans="1:23" s="1" customFormat="1">
      <c r="A75" s="122">
        <v>21</v>
      </c>
      <c r="B75" s="103" t="s">
        <v>34</v>
      </c>
      <c r="C75" s="485" t="s">
        <v>210</v>
      </c>
      <c r="D75" s="51">
        <f t="shared" si="12"/>
        <v>13900</v>
      </c>
      <c r="E75" s="51">
        <f t="shared" si="13"/>
        <v>0</v>
      </c>
      <c r="F75" s="115"/>
      <c r="G75" s="135"/>
      <c r="H75" s="135"/>
      <c r="I75" s="135"/>
      <c r="J75" s="135"/>
      <c r="K75" s="51">
        <f t="shared" si="14"/>
        <v>13900</v>
      </c>
      <c r="L75" s="136"/>
      <c r="M75" s="115">
        <v>600</v>
      </c>
      <c r="N75" s="137">
        <v>7700</v>
      </c>
      <c r="O75" s="115"/>
      <c r="P75" s="399">
        <v>5600</v>
      </c>
      <c r="Q75" s="137"/>
      <c r="R75" s="115"/>
      <c r="S75" s="137"/>
      <c r="T75" s="136"/>
      <c r="U75" s="137"/>
      <c r="V75" s="137"/>
      <c r="W75" s="137"/>
    </row>
    <row r="76" spans="1:23" s="1" customFormat="1">
      <c r="A76" s="122">
        <v>23</v>
      </c>
      <c r="B76" s="103" t="s">
        <v>34</v>
      </c>
      <c r="C76" s="104" t="s">
        <v>290</v>
      </c>
      <c r="D76" s="51">
        <f t="shared" si="12"/>
        <v>35911</v>
      </c>
      <c r="E76" s="51">
        <f t="shared" si="13"/>
        <v>35000</v>
      </c>
      <c r="F76" s="115">
        <v>35000</v>
      </c>
      <c r="G76" s="135"/>
      <c r="H76" s="135"/>
      <c r="I76" s="135"/>
      <c r="J76" s="135"/>
      <c r="K76" s="51">
        <f t="shared" si="14"/>
        <v>911</v>
      </c>
      <c r="L76" s="136">
        <v>911</v>
      </c>
      <c r="M76" s="115"/>
      <c r="N76" s="137"/>
      <c r="O76" s="115"/>
      <c r="P76" s="399"/>
      <c r="Q76" s="137"/>
      <c r="R76" s="115"/>
      <c r="S76" s="137"/>
      <c r="T76" s="136"/>
      <c r="U76" s="137"/>
      <c r="V76" s="137"/>
      <c r="W76" s="137"/>
    </row>
    <row r="77" spans="1:23" s="1" customFormat="1">
      <c r="A77" s="122">
        <v>24</v>
      </c>
      <c r="B77" s="103" t="s">
        <v>34</v>
      </c>
      <c r="C77" s="104" t="s">
        <v>292</v>
      </c>
      <c r="D77" s="51">
        <f t="shared" si="12"/>
        <v>813734</v>
      </c>
      <c r="E77" s="51">
        <f t="shared" si="13"/>
        <v>400000</v>
      </c>
      <c r="F77" s="137">
        <v>400000</v>
      </c>
      <c r="G77" s="135"/>
      <c r="H77" s="135"/>
      <c r="I77" s="135"/>
      <c r="J77" s="135"/>
      <c r="K77" s="51">
        <f t="shared" si="14"/>
        <v>413734</v>
      </c>
      <c r="L77" s="136">
        <v>413734</v>
      </c>
      <c r="M77" s="115"/>
      <c r="N77" s="137"/>
      <c r="O77" s="115"/>
      <c r="P77" s="105"/>
      <c r="Q77" s="137"/>
      <c r="R77" s="115"/>
      <c r="S77" s="137"/>
      <c r="T77" s="136"/>
      <c r="U77" s="137"/>
      <c r="V77" s="137"/>
      <c r="W77" s="137"/>
    </row>
    <row r="78" spans="1:23" s="1" customFormat="1">
      <c r="A78" s="122">
        <v>25</v>
      </c>
      <c r="B78" s="103" t="s">
        <v>34</v>
      </c>
      <c r="C78" s="104" t="s">
        <v>291</v>
      </c>
      <c r="D78" s="51">
        <f t="shared" si="12"/>
        <v>36829.345999999998</v>
      </c>
      <c r="E78" s="51">
        <f t="shared" si="13"/>
        <v>0</v>
      </c>
      <c r="F78" s="115"/>
      <c r="G78" s="135"/>
      <c r="H78" s="135"/>
      <c r="I78" s="135"/>
      <c r="J78" s="135"/>
      <c r="K78" s="51">
        <f t="shared" si="14"/>
        <v>36829.345999999998</v>
      </c>
      <c r="L78" s="136">
        <v>24123</v>
      </c>
      <c r="M78" s="115">
        <v>500</v>
      </c>
      <c r="N78" s="137"/>
      <c r="O78" s="115">
        <v>2000</v>
      </c>
      <c r="P78" s="105"/>
      <c r="Q78" s="137"/>
      <c r="R78" s="140">
        <v>4356.3459999999995</v>
      </c>
      <c r="S78" s="137"/>
      <c r="T78" s="136">
        <v>2000</v>
      </c>
      <c r="U78" s="137">
        <v>3000</v>
      </c>
      <c r="V78" s="137"/>
      <c r="W78" s="137">
        <v>850</v>
      </c>
    </row>
    <row r="79" spans="1:23" s="3" customFormat="1" ht="10.5">
      <c r="A79" s="141" t="s">
        <v>252</v>
      </c>
      <c r="B79" s="98" t="s">
        <v>34</v>
      </c>
      <c r="C79" s="132" t="s">
        <v>19</v>
      </c>
      <c r="D79" s="100">
        <f t="shared" si="12"/>
        <v>741450</v>
      </c>
      <c r="E79" s="100">
        <f t="shared" si="13"/>
        <v>455000</v>
      </c>
      <c r="F79" s="101">
        <f>SUM(F80:F97)</f>
        <v>455000</v>
      </c>
      <c r="G79" s="101">
        <f t="shared" ref="G79:W79" si="15">SUM(G80:G97)</f>
        <v>0</v>
      </c>
      <c r="H79" s="101">
        <f t="shared" si="15"/>
        <v>0</v>
      </c>
      <c r="I79" s="101">
        <f t="shared" si="15"/>
        <v>0</v>
      </c>
      <c r="J79" s="101">
        <f t="shared" si="15"/>
        <v>0</v>
      </c>
      <c r="K79" s="100">
        <f t="shared" si="14"/>
        <v>286450</v>
      </c>
      <c r="L79" s="101">
        <f t="shared" si="15"/>
        <v>24786</v>
      </c>
      <c r="M79" s="101">
        <f t="shared" si="15"/>
        <v>11700</v>
      </c>
      <c r="N79" s="101">
        <f t="shared" si="15"/>
        <v>22120</v>
      </c>
      <c r="O79" s="101">
        <f t="shared" si="15"/>
        <v>58980</v>
      </c>
      <c r="P79" s="101">
        <f t="shared" si="15"/>
        <v>11110</v>
      </c>
      <c r="Q79" s="101">
        <f t="shared" si="15"/>
        <v>25950</v>
      </c>
      <c r="R79" s="101">
        <f t="shared" si="15"/>
        <v>21820</v>
      </c>
      <c r="S79" s="101">
        <f t="shared" si="15"/>
        <v>9342</v>
      </c>
      <c r="T79" s="101">
        <f t="shared" si="15"/>
        <v>64572</v>
      </c>
      <c r="U79" s="101">
        <f t="shared" si="15"/>
        <v>8660</v>
      </c>
      <c r="V79" s="101">
        <f t="shared" si="15"/>
        <v>14400</v>
      </c>
      <c r="W79" s="101">
        <f t="shared" si="15"/>
        <v>13010</v>
      </c>
    </row>
    <row r="80" spans="1:23" s="3" customFormat="1">
      <c r="A80" s="142">
        <v>1</v>
      </c>
      <c r="B80" s="121" t="s">
        <v>34</v>
      </c>
      <c r="C80" s="143" t="s">
        <v>211</v>
      </c>
      <c r="D80" s="51">
        <f t="shared" si="12"/>
        <v>73040</v>
      </c>
      <c r="E80" s="51">
        <f t="shared" si="13"/>
        <v>4200</v>
      </c>
      <c r="F80" s="135">
        <v>4200</v>
      </c>
      <c r="G80" s="135"/>
      <c r="H80" s="135"/>
      <c r="I80" s="135"/>
      <c r="J80" s="135"/>
      <c r="K80" s="51">
        <f t="shared" si="14"/>
        <v>68840</v>
      </c>
      <c r="L80" s="135">
        <v>17000</v>
      </c>
      <c r="M80" s="135">
        <v>2500</v>
      </c>
      <c r="N80" s="135">
        <v>1220</v>
      </c>
      <c r="O80" s="135">
        <v>18000</v>
      </c>
      <c r="P80" s="135">
        <v>1880</v>
      </c>
      <c r="Q80" s="135">
        <v>1120</v>
      </c>
      <c r="R80" s="135">
        <v>4100</v>
      </c>
      <c r="S80" s="135">
        <v>2660</v>
      </c>
      <c r="T80" s="135">
        <v>12450</v>
      </c>
      <c r="U80" s="135">
        <v>3100</v>
      </c>
      <c r="V80" s="135">
        <v>2160</v>
      </c>
      <c r="W80" s="135">
        <v>2650</v>
      </c>
    </row>
    <row r="81" spans="1:23" s="1" customFormat="1" ht="22.5">
      <c r="A81" s="142">
        <v>2</v>
      </c>
      <c r="B81" s="121" t="s">
        <v>34</v>
      </c>
      <c r="C81" s="143" t="s">
        <v>391</v>
      </c>
      <c r="D81" s="51">
        <f t="shared" si="12"/>
        <v>21950</v>
      </c>
      <c r="E81" s="51">
        <f t="shared" si="13"/>
        <v>8400</v>
      </c>
      <c r="F81" s="135">
        <v>8400</v>
      </c>
      <c r="G81" s="135"/>
      <c r="H81" s="135"/>
      <c r="I81" s="135"/>
      <c r="J81" s="135"/>
      <c r="K81" s="51">
        <f t="shared" si="14"/>
        <v>13550</v>
      </c>
      <c r="L81" s="135"/>
      <c r="M81" s="135"/>
      <c r="N81" s="135"/>
      <c r="O81" s="135">
        <v>8330</v>
      </c>
      <c r="P81" s="135"/>
      <c r="Q81" s="135"/>
      <c r="R81" s="135"/>
      <c r="S81" s="135">
        <v>1560</v>
      </c>
      <c r="T81" s="135"/>
      <c r="U81" s="135"/>
      <c r="V81" s="135"/>
      <c r="W81" s="135">
        <v>3660</v>
      </c>
    </row>
    <row r="82" spans="1:23" s="1" customFormat="1">
      <c r="A82" s="142">
        <v>3</v>
      </c>
      <c r="B82" s="121" t="s">
        <v>34</v>
      </c>
      <c r="C82" s="144" t="s">
        <v>392</v>
      </c>
      <c r="D82" s="51">
        <f t="shared" si="12"/>
        <v>16480</v>
      </c>
      <c r="E82" s="51">
        <f t="shared" si="13"/>
        <v>8800</v>
      </c>
      <c r="F82" s="145">
        <v>8800</v>
      </c>
      <c r="G82" s="135"/>
      <c r="H82" s="135"/>
      <c r="I82" s="135"/>
      <c r="J82" s="135"/>
      <c r="K82" s="51">
        <f t="shared" si="14"/>
        <v>7680</v>
      </c>
      <c r="L82" s="146"/>
      <c r="M82" s="135"/>
      <c r="N82" s="145">
        <v>1600</v>
      </c>
      <c r="O82" s="145">
        <v>0</v>
      </c>
      <c r="P82" s="145">
        <v>2560</v>
      </c>
      <c r="Q82" s="145"/>
      <c r="R82" s="147"/>
      <c r="S82" s="145"/>
      <c r="T82" s="148"/>
      <c r="U82" s="145"/>
      <c r="V82" s="145"/>
      <c r="W82" s="145">
        <v>3520</v>
      </c>
    </row>
    <row r="83" spans="1:23" ht="22.5">
      <c r="A83" s="142">
        <v>4</v>
      </c>
      <c r="B83" s="121" t="s">
        <v>34</v>
      </c>
      <c r="C83" s="149" t="s">
        <v>50</v>
      </c>
      <c r="D83" s="51">
        <f t="shared" si="12"/>
        <v>9080</v>
      </c>
      <c r="E83" s="51">
        <f t="shared" si="13"/>
        <v>8000</v>
      </c>
      <c r="F83" s="145">
        <v>8000</v>
      </c>
      <c r="G83" s="135"/>
      <c r="H83" s="135"/>
      <c r="I83" s="135"/>
      <c r="J83" s="135"/>
      <c r="K83" s="51">
        <f t="shared" si="14"/>
        <v>1080</v>
      </c>
      <c r="L83" s="146"/>
      <c r="M83" s="135"/>
      <c r="N83" s="145"/>
      <c r="O83" s="145">
        <v>600</v>
      </c>
      <c r="P83" s="145"/>
      <c r="Q83" s="145"/>
      <c r="R83" s="147"/>
      <c r="S83" s="145"/>
      <c r="T83" s="148"/>
      <c r="U83" s="145"/>
      <c r="V83" s="145"/>
      <c r="W83" s="145">
        <v>480</v>
      </c>
    </row>
    <row r="84" spans="1:23" ht="22.5">
      <c r="A84" s="142">
        <v>5</v>
      </c>
      <c r="B84" s="121" t="s">
        <v>34</v>
      </c>
      <c r="C84" s="149" t="s">
        <v>393</v>
      </c>
      <c r="D84" s="51">
        <f t="shared" si="12"/>
        <v>75250</v>
      </c>
      <c r="E84" s="51">
        <f t="shared" si="13"/>
        <v>12600</v>
      </c>
      <c r="F84" s="145">
        <v>12600</v>
      </c>
      <c r="G84" s="135"/>
      <c r="H84" s="135"/>
      <c r="I84" s="135"/>
      <c r="J84" s="135"/>
      <c r="K84" s="51">
        <f t="shared" si="14"/>
        <v>62650</v>
      </c>
      <c r="L84" s="136">
        <v>7280</v>
      </c>
      <c r="M84" s="135">
        <v>7200</v>
      </c>
      <c r="N84" s="145">
        <v>14300</v>
      </c>
      <c r="O84" s="145">
        <v>2250</v>
      </c>
      <c r="P84" s="145"/>
      <c r="Q84" s="145"/>
      <c r="R84" s="147">
        <v>7080</v>
      </c>
      <c r="S84" s="145"/>
      <c r="T84" s="148">
        <v>24000</v>
      </c>
      <c r="U84" s="145"/>
      <c r="V84" s="145"/>
      <c r="W84" s="145">
        <v>540</v>
      </c>
    </row>
    <row r="85" spans="1:23" ht="22.5">
      <c r="A85" s="142">
        <v>6</v>
      </c>
      <c r="B85" s="121" t="s">
        <v>34</v>
      </c>
      <c r="C85" s="149" t="s">
        <v>394</v>
      </c>
      <c r="D85" s="51">
        <f t="shared" si="12"/>
        <v>174842</v>
      </c>
      <c r="E85" s="51">
        <f t="shared" si="13"/>
        <v>84800</v>
      </c>
      <c r="F85" s="145">
        <v>84800</v>
      </c>
      <c r="G85" s="135"/>
      <c r="H85" s="135"/>
      <c r="I85" s="135"/>
      <c r="J85" s="135"/>
      <c r="K85" s="51">
        <f t="shared" si="14"/>
        <v>90042</v>
      </c>
      <c r="L85" s="146"/>
      <c r="M85" s="135">
        <v>2000</v>
      </c>
      <c r="N85" s="145"/>
      <c r="O85" s="145">
        <v>7200</v>
      </c>
      <c r="P85" s="145">
        <v>4170</v>
      </c>
      <c r="Q85" s="145">
        <v>24240</v>
      </c>
      <c r="R85" s="147">
        <v>6640</v>
      </c>
      <c r="S85" s="145"/>
      <c r="T85" s="148">
        <v>27872</v>
      </c>
      <c r="U85" s="145">
        <v>4320</v>
      </c>
      <c r="V85" s="145">
        <v>12240</v>
      </c>
      <c r="W85" s="145">
        <v>1360</v>
      </c>
    </row>
    <row r="86" spans="1:23" ht="22.5">
      <c r="A86" s="142">
        <v>7</v>
      </c>
      <c r="B86" s="121" t="s">
        <v>34</v>
      </c>
      <c r="C86" s="149" t="s">
        <v>51</v>
      </c>
      <c r="D86" s="51">
        <f t="shared" si="12"/>
        <v>10000</v>
      </c>
      <c r="E86" s="51">
        <f t="shared" si="13"/>
        <v>10000</v>
      </c>
      <c r="F86" s="145">
        <v>10000</v>
      </c>
      <c r="G86" s="135"/>
      <c r="H86" s="135"/>
      <c r="I86" s="135"/>
      <c r="J86" s="135"/>
      <c r="K86" s="51">
        <f t="shared" si="14"/>
        <v>0</v>
      </c>
      <c r="L86" s="150"/>
      <c r="M86" s="135"/>
      <c r="N86" s="151"/>
      <c r="O86" s="151"/>
      <c r="P86" s="145"/>
      <c r="Q86" s="151"/>
      <c r="R86" s="147"/>
      <c r="S86" s="151"/>
      <c r="T86" s="148"/>
      <c r="U86" s="151"/>
      <c r="V86" s="151"/>
      <c r="W86" s="145"/>
    </row>
    <row r="87" spans="1:23">
      <c r="A87" s="142">
        <v>8</v>
      </c>
      <c r="B87" s="121" t="s">
        <v>34</v>
      </c>
      <c r="C87" s="149" t="s">
        <v>395</v>
      </c>
      <c r="D87" s="51">
        <f t="shared" si="12"/>
        <v>1000</v>
      </c>
      <c r="E87" s="51">
        <f t="shared" si="13"/>
        <v>1000</v>
      </c>
      <c r="F87" s="145">
        <v>1000</v>
      </c>
      <c r="G87" s="135"/>
      <c r="H87" s="135"/>
      <c r="I87" s="135"/>
      <c r="J87" s="135"/>
      <c r="K87" s="51">
        <f t="shared" si="14"/>
        <v>0</v>
      </c>
      <c r="L87" s="150"/>
      <c r="M87" s="135"/>
      <c r="N87" s="151"/>
      <c r="O87" s="151"/>
      <c r="P87" s="145"/>
      <c r="Q87" s="151"/>
      <c r="R87" s="147"/>
      <c r="S87" s="151"/>
      <c r="T87" s="148"/>
      <c r="U87" s="151"/>
      <c r="V87" s="151"/>
      <c r="W87" s="145"/>
    </row>
    <row r="88" spans="1:23" ht="22.5">
      <c r="A88" s="142">
        <v>9</v>
      </c>
      <c r="B88" s="121" t="s">
        <v>34</v>
      </c>
      <c r="C88" s="149" t="s">
        <v>52</v>
      </c>
      <c r="D88" s="51">
        <f t="shared" si="12"/>
        <v>3000</v>
      </c>
      <c r="E88" s="51">
        <f t="shared" si="13"/>
        <v>600</v>
      </c>
      <c r="F88" s="145">
        <v>600</v>
      </c>
      <c r="G88" s="135"/>
      <c r="H88" s="135"/>
      <c r="I88" s="135"/>
      <c r="J88" s="135"/>
      <c r="K88" s="51">
        <f t="shared" si="14"/>
        <v>2400</v>
      </c>
      <c r="L88" s="146"/>
      <c r="M88" s="135"/>
      <c r="N88" s="145"/>
      <c r="O88" s="145">
        <v>1600</v>
      </c>
      <c r="P88" s="145"/>
      <c r="Q88" s="145"/>
      <c r="R88" s="147"/>
      <c r="S88" s="145"/>
      <c r="T88" s="148"/>
      <c r="U88" s="145"/>
      <c r="V88" s="145"/>
      <c r="W88" s="145">
        <v>800</v>
      </c>
    </row>
    <row r="89" spans="1:23">
      <c r="A89" s="142">
        <v>10</v>
      </c>
      <c r="B89" s="121" t="s">
        <v>34</v>
      </c>
      <c r="C89" s="149" t="s">
        <v>396</v>
      </c>
      <c r="D89" s="51">
        <f t="shared" si="12"/>
        <v>600</v>
      </c>
      <c r="E89" s="51">
        <f t="shared" si="13"/>
        <v>600</v>
      </c>
      <c r="F89" s="145">
        <v>600</v>
      </c>
      <c r="G89" s="135"/>
      <c r="H89" s="135"/>
      <c r="I89" s="135"/>
      <c r="J89" s="135"/>
      <c r="K89" s="51">
        <f t="shared" si="14"/>
        <v>0</v>
      </c>
      <c r="L89" s="146"/>
      <c r="M89" s="135"/>
      <c r="N89" s="145"/>
      <c r="O89" s="145"/>
      <c r="P89" s="145"/>
      <c r="Q89" s="145"/>
      <c r="R89" s="147"/>
      <c r="S89" s="145"/>
      <c r="T89" s="148"/>
      <c r="U89" s="145"/>
      <c r="V89" s="145"/>
      <c r="W89" s="145"/>
    </row>
    <row r="90" spans="1:23" ht="22.5">
      <c r="A90" s="142">
        <v>11</v>
      </c>
      <c r="B90" s="121" t="s">
        <v>34</v>
      </c>
      <c r="C90" s="149" t="s">
        <v>36</v>
      </c>
      <c r="D90" s="51">
        <f t="shared" si="12"/>
        <v>21426</v>
      </c>
      <c r="E90" s="51">
        <f t="shared" si="13"/>
        <v>4000</v>
      </c>
      <c r="F90" s="145">
        <v>4000</v>
      </c>
      <c r="G90" s="135"/>
      <c r="H90" s="135"/>
      <c r="I90" s="135"/>
      <c r="J90" s="135"/>
      <c r="K90" s="51">
        <f t="shared" si="14"/>
        <v>17426</v>
      </c>
      <c r="L90" s="136">
        <v>506</v>
      </c>
      <c r="M90" s="135"/>
      <c r="N90" s="145"/>
      <c r="O90" s="145">
        <v>16000</v>
      </c>
      <c r="P90" s="145"/>
      <c r="Q90" s="145">
        <v>590</v>
      </c>
      <c r="R90" s="147"/>
      <c r="S90" s="145">
        <v>330</v>
      </c>
      <c r="T90" s="148"/>
      <c r="U90" s="145"/>
      <c r="V90" s="145"/>
      <c r="W90" s="145"/>
    </row>
    <row r="91" spans="1:23">
      <c r="A91" s="142">
        <v>13</v>
      </c>
      <c r="B91" s="121" t="s">
        <v>34</v>
      </c>
      <c r="C91" s="149" t="s">
        <v>53</v>
      </c>
      <c r="D91" s="51">
        <f t="shared" si="12"/>
        <v>17750</v>
      </c>
      <c r="E91" s="51">
        <f t="shared" si="13"/>
        <v>1000</v>
      </c>
      <c r="F91" s="145">
        <v>1000</v>
      </c>
      <c r="G91" s="135"/>
      <c r="H91" s="135"/>
      <c r="I91" s="135"/>
      <c r="J91" s="135"/>
      <c r="K91" s="51">
        <f t="shared" si="14"/>
        <v>16750</v>
      </c>
      <c r="L91" s="146"/>
      <c r="M91" s="135"/>
      <c r="N91" s="145">
        <v>5000</v>
      </c>
      <c r="O91" s="145">
        <v>5000</v>
      </c>
      <c r="P91" s="145">
        <v>2500</v>
      </c>
      <c r="Q91" s="145"/>
      <c r="R91" s="147">
        <v>4000</v>
      </c>
      <c r="S91" s="145"/>
      <c r="T91" s="148">
        <v>250</v>
      </c>
      <c r="U91" s="145"/>
      <c r="V91" s="145"/>
      <c r="W91" s="145"/>
    </row>
    <row r="92" spans="1:23">
      <c r="A92" s="142">
        <v>14</v>
      </c>
      <c r="B92" s="121" t="s">
        <v>34</v>
      </c>
      <c r="C92" s="149" t="s">
        <v>397</v>
      </c>
      <c r="D92" s="51">
        <f t="shared" si="12"/>
        <v>82240</v>
      </c>
      <c r="E92" s="51">
        <f t="shared" si="13"/>
        <v>81000</v>
      </c>
      <c r="F92" s="145">
        <v>81000</v>
      </c>
      <c r="G92" s="135"/>
      <c r="H92" s="135"/>
      <c r="I92" s="135"/>
      <c r="J92" s="135"/>
      <c r="K92" s="51">
        <f t="shared" si="14"/>
        <v>1240</v>
      </c>
      <c r="L92" s="146"/>
      <c r="M92" s="135"/>
      <c r="N92" s="145"/>
      <c r="O92" s="145"/>
      <c r="P92" s="145"/>
      <c r="Q92" s="145"/>
      <c r="R92" s="147"/>
      <c r="S92" s="145"/>
      <c r="T92" s="148"/>
      <c r="U92" s="145">
        <v>1240</v>
      </c>
      <c r="V92" s="145"/>
      <c r="W92" s="145"/>
    </row>
    <row r="93" spans="1:23">
      <c r="A93" s="142">
        <v>15</v>
      </c>
      <c r="B93" s="121" t="s">
        <v>34</v>
      </c>
      <c r="C93" s="106" t="s">
        <v>398</v>
      </c>
      <c r="D93" s="51">
        <f t="shared" si="12"/>
        <v>20000</v>
      </c>
      <c r="E93" s="51">
        <f t="shared" si="13"/>
        <v>20000</v>
      </c>
      <c r="F93" s="145">
        <v>20000</v>
      </c>
      <c r="G93" s="135"/>
      <c r="H93" s="135"/>
      <c r="I93" s="135"/>
      <c r="J93" s="135"/>
      <c r="K93" s="51">
        <f t="shared" si="14"/>
        <v>0</v>
      </c>
      <c r="L93" s="146"/>
      <c r="M93" s="135"/>
      <c r="N93" s="145"/>
      <c r="O93" s="145"/>
      <c r="P93" s="145"/>
      <c r="Q93" s="145"/>
      <c r="R93" s="147"/>
      <c r="S93" s="145"/>
      <c r="T93" s="148"/>
      <c r="U93" s="145"/>
      <c r="V93" s="145"/>
      <c r="W93" s="145"/>
    </row>
    <row r="94" spans="1:23">
      <c r="A94" s="142">
        <v>16</v>
      </c>
      <c r="B94" s="121" t="s">
        <v>34</v>
      </c>
      <c r="C94" s="106" t="s">
        <v>292</v>
      </c>
      <c r="D94" s="51">
        <f t="shared" si="12"/>
        <v>60000</v>
      </c>
      <c r="E94" s="51">
        <f t="shared" si="13"/>
        <v>60000</v>
      </c>
      <c r="F94" s="145">
        <v>60000</v>
      </c>
      <c r="G94" s="152"/>
      <c r="H94" s="152"/>
      <c r="I94" s="152"/>
      <c r="J94" s="152"/>
      <c r="K94" s="51">
        <f t="shared" si="14"/>
        <v>0</v>
      </c>
      <c r="L94" s="148"/>
      <c r="M94" s="152"/>
      <c r="N94" s="145"/>
      <c r="O94" s="145"/>
      <c r="P94" s="153"/>
      <c r="Q94" s="145"/>
      <c r="R94" s="147"/>
      <c r="S94" s="145"/>
      <c r="T94" s="148"/>
      <c r="U94" s="145"/>
      <c r="V94" s="145"/>
      <c r="W94" s="145"/>
    </row>
    <row r="95" spans="1:23" ht="22.5">
      <c r="A95" s="142">
        <v>17</v>
      </c>
      <c r="B95" s="121" t="s">
        <v>34</v>
      </c>
      <c r="C95" s="106" t="s">
        <v>399</v>
      </c>
      <c r="D95" s="51">
        <f t="shared" si="12"/>
        <v>50000</v>
      </c>
      <c r="E95" s="51">
        <f t="shared" si="13"/>
        <v>50000</v>
      </c>
      <c r="F95" s="145">
        <v>50000</v>
      </c>
      <c r="G95" s="152"/>
      <c r="H95" s="152"/>
      <c r="I95" s="152"/>
      <c r="J95" s="152"/>
      <c r="K95" s="51">
        <f t="shared" si="14"/>
        <v>0</v>
      </c>
      <c r="L95" s="148"/>
      <c r="M95" s="152"/>
      <c r="N95" s="145"/>
      <c r="O95" s="145"/>
      <c r="P95" s="153"/>
      <c r="Q95" s="145"/>
      <c r="R95" s="147"/>
      <c r="S95" s="145"/>
      <c r="T95" s="148"/>
      <c r="U95" s="145"/>
      <c r="V95" s="145"/>
      <c r="W95" s="154"/>
    </row>
    <row r="96" spans="1:23">
      <c r="A96" s="142">
        <v>18</v>
      </c>
      <c r="B96" s="121" t="s">
        <v>34</v>
      </c>
      <c r="C96" s="106" t="s">
        <v>501</v>
      </c>
      <c r="D96" s="51">
        <f t="shared" si="12"/>
        <v>54792</v>
      </c>
      <c r="E96" s="51">
        <f t="shared" si="13"/>
        <v>50000</v>
      </c>
      <c r="F96" s="145">
        <v>50000</v>
      </c>
      <c r="G96" s="152"/>
      <c r="H96" s="152"/>
      <c r="I96" s="152"/>
      <c r="J96" s="152"/>
      <c r="K96" s="51">
        <f t="shared" si="14"/>
        <v>4792</v>
      </c>
      <c r="L96" s="148"/>
      <c r="M96" s="152"/>
      <c r="N96" s="155"/>
      <c r="O96" s="145"/>
      <c r="P96" s="153"/>
      <c r="Q96" s="145"/>
      <c r="R96" s="147"/>
      <c r="S96" s="145">
        <v>4792</v>
      </c>
      <c r="T96" s="148"/>
      <c r="U96" s="155"/>
      <c r="V96" s="145"/>
      <c r="W96" s="154"/>
    </row>
    <row r="97" spans="1:23">
      <c r="A97" s="142">
        <v>19</v>
      </c>
      <c r="B97" s="121" t="s">
        <v>34</v>
      </c>
      <c r="C97" s="106" t="s">
        <v>400</v>
      </c>
      <c r="D97" s="51">
        <f t="shared" si="12"/>
        <v>50000</v>
      </c>
      <c r="E97" s="51">
        <f t="shared" si="13"/>
        <v>50000</v>
      </c>
      <c r="F97" s="145">
        <v>50000</v>
      </c>
      <c r="G97" s="135"/>
      <c r="H97" s="135"/>
      <c r="I97" s="135"/>
      <c r="J97" s="135"/>
      <c r="K97" s="51">
        <f t="shared" si="14"/>
        <v>0</v>
      </c>
      <c r="L97" s="146"/>
      <c r="M97" s="135"/>
      <c r="O97" s="145"/>
      <c r="P97" s="153"/>
      <c r="Q97" s="145"/>
      <c r="R97" s="147"/>
      <c r="S97" s="145"/>
      <c r="T97" s="148"/>
      <c r="V97" s="145"/>
      <c r="W97" s="105"/>
    </row>
    <row r="98" spans="1:23" s="3" customFormat="1" ht="10.5">
      <c r="A98" s="156" t="s">
        <v>253</v>
      </c>
      <c r="B98" s="98" t="s">
        <v>34</v>
      </c>
      <c r="C98" s="157" t="s">
        <v>20</v>
      </c>
      <c r="D98" s="100">
        <f t="shared" si="12"/>
        <v>1333970</v>
      </c>
      <c r="E98" s="100">
        <f t="shared" si="13"/>
        <v>450000</v>
      </c>
      <c r="F98" s="158">
        <f>SUM(F99:F118)</f>
        <v>450000</v>
      </c>
      <c r="G98" s="158">
        <f t="shared" ref="G98:W98" si="16">SUM(G99:G118)</f>
        <v>0</v>
      </c>
      <c r="H98" s="158">
        <f t="shared" si="16"/>
        <v>0</v>
      </c>
      <c r="I98" s="158">
        <f t="shared" si="16"/>
        <v>0</v>
      </c>
      <c r="J98" s="158">
        <f t="shared" si="16"/>
        <v>0</v>
      </c>
      <c r="K98" s="100">
        <f t="shared" si="14"/>
        <v>883970</v>
      </c>
      <c r="L98" s="158">
        <f t="shared" si="16"/>
        <v>24963</v>
      </c>
      <c r="M98" s="158">
        <f t="shared" si="16"/>
        <v>39658</v>
      </c>
      <c r="N98" s="158">
        <f t="shared" si="16"/>
        <v>76459</v>
      </c>
      <c r="O98" s="158">
        <f t="shared" si="16"/>
        <v>122400</v>
      </c>
      <c r="P98" s="158">
        <f t="shared" si="16"/>
        <v>57440</v>
      </c>
      <c r="Q98" s="158">
        <f t="shared" si="16"/>
        <v>69128</v>
      </c>
      <c r="R98" s="158">
        <f t="shared" si="16"/>
        <v>129060</v>
      </c>
      <c r="S98" s="158">
        <f t="shared" si="16"/>
        <v>77480</v>
      </c>
      <c r="T98" s="158">
        <f t="shared" si="16"/>
        <v>97052</v>
      </c>
      <c r="U98" s="158">
        <f t="shared" si="16"/>
        <v>68560</v>
      </c>
      <c r="V98" s="158">
        <f t="shared" si="16"/>
        <v>60440</v>
      </c>
      <c r="W98" s="158">
        <f t="shared" si="16"/>
        <v>61330</v>
      </c>
    </row>
    <row r="99" spans="1:23">
      <c r="A99" s="159">
        <v>1</v>
      </c>
      <c r="B99" s="103" t="s">
        <v>34</v>
      </c>
      <c r="C99" s="160" t="s">
        <v>57</v>
      </c>
      <c r="D99" s="51">
        <f t="shared" si="12"/>
        <v>47280</v>
      </c>
      <c r="E99" s="51">
        <f t="shared" si="13"/>
        <v>11600</v>
      </c>
      <c r="F99" s="161">
        <v>11600</v>
      </c>
      <c r="G99" s="162"/>
      <c r="H99" s="162"/>
      <c r="I99" s="162"/>
      <c r="J99" s="162"/>
      <c r="K99" s="51">
        <f t="shared" si="14"/>
        <v>35680</v>
      </c>
      <c r="L99" s="136"/>
      <c r="M99" s="135">
        <v>0</v>
      </c>
      <c r="N99" s="145">
        <v>6000</v>
      </c>
      <c r="O99" s="145">
        <v>5000</v>
      </c>
      <c r="P99" s="145">
        <v>0</v>
      </c>
      <c r="Q99" s="145">
        <v>4000</v>
      </c>
      <c r="R99" s="145">
        <v>6000</v>
      </c>
      <c r="S99" s="145"/>
      <c r="T99" s="145">
        <v>0</v>
      </c>
      <c r="U99" s="145">
        <v>6000</v>
      </c>
      <c r="V99" s="145">
        <v>4000</v>
      </c>
      <c r="W99" s="137">
        <v>4680</v>
      </c>
    </row>
    <row r="100" spans="1:23">
      <c r="A100" s="159">
        <v>2</v>
      </c>
      <c r="B100" s="103" t="s">
        <v>34</v>
      </c>
      <c r="C100" s="160" t="s">
        <v>58</v>
      </c>
      <c r="D100" s="51">
        <f t="shared" si="12"/>
        <v>262640</v>
      </c>
      <c r="E100" s="51">
        <f t="shared" si="13"/>
        <v>136000</v>
      </c>
      <c r="F100" s="161">
        <v>136000</v>
      </c>
      <c r="G100" s="162"/>
      <c r="H100" s="162"/>
      <c r="I100" s="162"/>
      <c r="J100" s="162"/>
      <c r="K100" s="51">
        <f t="shared" si="14"/>
        <v>126640</v>
      </c>
      <c r="L100" s="136">
        <v>2880</v>
      </c>
      <c r="M100" s="152">
        <v>5760</v>
      </c>
      <c r="N100" s="145">
        <v>12000</v>
      </c>
      <c r="O100" s="145">
        <v>28000</v>
      </c>
      <c r="P100" s="163">
        <v>12000</v>
      </c>
      <c r="Q100" s="145">
        <v>10000</v>
      </c>
      <c r="R100" s="145">
        <v>32000</v>
      </c>
      <c r="S100" s="145"/>
      <c r="T100" s="145">
        <v>0</v>
      </c>
      <c r="U100" s="145">
        <v>12000</v>
      </c>
      <c r="V100" s="145">
        <v>12000</v>
      </c>
      <c r="W100" s="137">
        <v>0</v>
      </c>
    </row>
    <row r="101" spans="1:23">
      <c r="A101" s="159">
        <v>3</v>
      </c>
      <c r="B101" s="103" t="s">
        <v>34</v>
      </c>
      <c r="C101" s="160" t="s">
        <v>230</v>
      </c>
      <c r="D101" s="51">
        <f t="shared" si="12"/>
        <v>71272</v>
      </c>
      <c r="E101" s="51">
        <f t="shared" si="13"/>
        <v>8000</v>
      </c>
      <c r="F101" s="164">
        <v>8000</v>
      </c>
      <c r="G101" s="164"/>
      <c r="H101" s="164"/>
      <c r="I101" s="164"/>
      <c r="J101" s="164"/>
      <c r="K101" s="51">
        <f t="shared" si="14"/>
        <v>63272</v>
      </c>
      <c r="L101" s="152">
        <v>0</v>
      </c>
      <c r="M101" s="152">
        <v>0</v>
      </c>
      <c r="N101" s="152">
        <v>2000</v>
      </c>
      <c r="O101" s="152">
        <v>4000</v>
      </c>
      <c r="P101" s="152">
        <v>0</v>
      </c>
      <c r="Q101" s="152">
        <v>0</v>
      </c>
      <c r="R101" s="152">
        <v>1200</v>
      </c>
      <c r="S101" s="152">
        <v>15840</v>
      </c>
      <c r="T101" s="152">
        <v>22552</v>
      </c>
      <c r="U101" s="152">
        <v>6640</v>
      </c>
      <c r="V101" s="152">
        <v>1440</v>
      </c>
      <c r="W101" s="152">
        <v>9600</v>
      </c>
    </row>
    <row r="102" spans="1:23">
      <c r="A102" s="159">
        <v>4</v>
      </c>
      <c r="B102" s="103" t="s">
        <v>34</v>
      </c>
      <c r="C102" s="160" t="s">
        <v>59</v>
      </c>
      <c r="D102" s="51">
        <f t="shared" si="12"/>
        <v>131540</v>
      </c>
      <c r="E102" s="51">
        <f t="shared" si="13"/>
        <v>0</v>
      </c>
      <c r="F102" s="161"/>
      <c r="G102" s="162"/>
      <c r="H102" s="162"/>
      <c r="I102" s="162"/>
      <c r="J102" s="162"/>
      <c r="K102" s="51">
        <f t="shared" si="14"/>
        <v>131540</v>
      </c>
      <c r="L102" s="165"/>
      <c r="M102" s="135">
        <v>4000</v>
      </c>
      <c r="N102" s="145">
        <v>25000</v>
      </c>
      <c r="O102" s="145">
        <v>30000</v>
      </c>
      <c r="P102" s="145">
        <v>0</v>
      </c>
      <c r="Q102" s="145">
        <v>22100</v>
      </c>
      <c r="R102" s="145">
        <v>30000</v>
      </c>
      <c r="S102" s="145"/>
      <c r="T102" s="145">
        <v>10000</v>
      </c>
      <c r="U102" s="145">
        <v>10440</v>
      </c>
      <c r="V102" s="145"/>
      <c r="W102" s="137">
        <v>0</v>
      </c>
    </row>
    <row r="103" spans="1:23">
      <c r="A103" s="159">
        <v>5</v>
      </c>
      <c r="B103" s="103" t="s">
        <v>34</v>
      </c>
      <c r="C103" s="160" t="s">
        <v>60</v>
      </c>
      <c r="D103" s="51">
        <f t="shared" si="12"/>
        <v>10000</v>
      </c>
      <c r="E103" s="51">
        <f t="shared" si="13"/>
        <v>10000</v>
      </c>
      <c r="F103" s="161">
        <v>10000</v>
      </c>
      <c r="G103" s="162"/>
      <c r="H103" s="162"/>
      <c r="I103" s="162"/>
      <c r="J103" s="162"/>
      <c r="K103" s="51">
        <f t="shared" si="14"/>
        <v>0</v>
      </c>
      <c r="L103" s="165"/>
      <c r="M103" s="135">
        <v>0</v>
      </c>
      <c r="N103" s="145"/>
      <c r="O103" s="145"/>
      <c r="P103" s="145">
        <v>0</v>
      </c>
      <c r="Q103" s="145"/>
      <c r="R103" s="145"/>
      <c r="S103" s="145"/>
      <c r="T103" s="145">
        <v>0</v>
      </c>
      <c r="U103" s="145"/>
      <c r="V103" s="145"/>
      <c r="W103" s="137">
        <v>0</v>
      </c>
    </row>
    <row r="104" spans="1:23">
      <c r="A104" s="159">
        <v>6</v>
      </c>
      <c r="B104" s="103" t="s">
        <v>34</v>
      </c>
      <c r="C104" s="160" t="s">
        <v>61</v>
      </c>
      <c r="D104" s="51">
        <f t="shared" si="12"/>
        <v>49300</v>
      </c>
      <c r="E104" s="51">
        <f t="shared" si="13"/>
        <v>18720</v>
      </c>
      <c r="F104" s="161">
        <v>18720</v>
      </c>
      <c r="G104" s="162"/>
      <c r="H104" s="162"/>
      <c r="I104" s="162"/>
      <c r="J104" s="162"/>
      <c r="K104" s="51">
        <f t="shared" si="14"/>
        <v>30580</v>
      </c>
      <c r="L104" s="165"/>
      <c r="M104" s="135">
        <v>0</v>
      </c>
      <c r="N104" s="166">
        <v>5200</v>
      </c>
      <c r="O104" s="166">
        <v>5000</v>
      </c>
      <c r="P104" s="166">
        <v>0</v>
      </c>
      <c r="Q104" s="166">
        <v>6240</v>
      </c>
      <c r="R104" s="166">
        <v>3900</v>
      </c>
      <c r="S104" s="166"/>
      <c r="T104" s="145">
        <v>0</v>
      </c>
      <c r="U104" s="166">
        <v>6240</v>
      </c>
      <c r="V104" s="166">
        <v>4000</v>
      </c>
      <c r="W104" s="167">
        <v>0</v>
      </c>
    </row>
    <row r="105" spans="1:23">
      <c r="A105" s="159">
        <v>7</v>
      </c>
      <c r="B105" s="103" t="s">
        <v>34</v>
      </c>
      <c r="C105" s="160" t="s">
        <v>62</v>
      </c>
      <c r="D105" s="51">
        <f t="shared" si="12"/>
        <v>248400</v>
      </c>
      <c r="E105" s="51">
        <f t="shared" si="13"/>
        <v>0</v>
      </c>
      <c r="F105" s="161"/>
      <c r="G105" s="162"/>
      <c r="H105" s="162"/>
      <c r="I105" s="162"/>
      <c r="J105" s="162"/>
      <c r="K105" s="51">
        <f t="shared" si="14"/>
        <v>248400</v>
      </c>
      <c r="L105" s="136">
        <v>5400</v>
      </c>
      <c r="M105" s="135">
        <v>10800</v>
      </c>
      <c r="N105" s="145">
        <v>18000</v>
      </c>
      <c r="O105" s="145">
        <v>28800</v>
      </c>
      <c r="P105" s="145">
        <v>28800</v>
      </c>
      <c r="Q105" s="145">
        <v>14400</v>
      </c>
      <c r="R105" s="145">
        <v>36000</v>
      </c>
      <c r="S105" s="145">
        <v>19800</v>
      </c>
      <c r="T105" s="145">
        <v>27000</v>
      </c>
      <c r="U105" s="145">
        <v>19800</v>
      </c>
      <c r="V105" s="145">
        <v>19800</v>
      </c>
      <c r="W105" s="137">
        <v>19800</v>
      </c>
    </row>
    <row r="106" spans="1:23">
      <c r="A106" s="159">
        <v>9</v>
      </c>
      <c r="B106" s="103" t="s">
        <v>34</v>
      </c>
      <c r="C106" s="160" t="s">
        <v>63</v>
      </c>
      <c r="D106" s="51">
        <f t="shared" si="12"/>
        <v>128628</v>
      </c>
      <c r="E106" s="51">
        <f t="shared" si="13"/>
        <v>69760</v>
      </c>
      <c r="F106" s="161">
        <v>69760</v>
      </c>
      <c r="G106" s="162"/>
      <c r="H106" s="162"/>
      <c r="I106" s="162"/>
      <c r="J106" s="162"/>
      <c r="K106" s="51">
        <f t="shared" si="14"/>
        <v>58868</v>
      </c>
      <c r="L106" s="136"/>
      <c r="M106" s="135">
        <v>7578</v>
      </c>
      <c r="N106" s="145">
        <v>1180</v>
      </c>
      <c r="O106" s="145">
        <v>2600</v>
      </c>
      <c r="P106" s="145">
        <v>2200</v>
      </c>
      <c r="Q106" s="145">
        <v>1440</v>
      </c>
      <c r="R106" s="145">
        <v>2960</v>
      </c>
      <c r="S106" s="145">
        <v>16260</v>
      </c>
      <c r="T106" s="145">
        <v>18000</v>
      </c>
      <c r="U106" s="145"/>
      <c r="V106" s="145">
        <v>4800</v>
      </c>
      <c r="W106" s="137">
        <v>1850</v>
      </c>
    </row>
    <row r="107" spans="1:23">
      <c r="A107" s="159">
        <v>10</v>
      </c>
      <c r="B107" s="103" t="s">
        <v>34</v>
      </c>
      <c r="C107" s="160" t="s">
        <v>64</v>
      </c>
      <c r="D107" s="51">
        <f t="shared" si="12"/>
        <v>5000</v>
      </c>
      <c r="E107" s="51">
        <f t="shared" si="13"/>
        <v>5000</v>
      </c>
      <c r="F107" s="161">
        <v>5000</v>
      </c>
      <c r="G107" s="162"/>
      <c r="H107" s="162"/>
      <c r="I107" s="162"/>
      <c r="J107" s="162"/>
      <c r="K107" s="51">
        <f t="shared" si="14"/>
        <v>0</v>
      </c>
      <c r="L107" s="136"/>
      <c r="M107" s="135"/>
      <c r="N107" s="145"/>
      <c r="O107" s="145"/>
      <c r="P107" s="145">
        <v>0</v>
      </c>
      <c r="Q107" s="145"/>
      <c r="R107" s="145"/>
      <c r="S107" s="145"/>
      <c r="T107" s="145">
        <v>0</v>
      </c>
      <c r="U107" s="145"/>
      <c r="V107" s="145"/>
      <c r="W107" s="137">
        <v>0</v>
      </c>
    </row>
    <row r="108" spans="1:23">
      <c r="A108" s="159">
        <v>11</v>
      </c>
      <c r="B108" s="103" t="s">
        <v>34</v>
      </c>
      <c r="C108" s="168" t="s">
        <v>65</v>
      </c>
      <c r="D108" s="51">
        <f t="shared" si="12"/>
        <v>19200</v>
      </c>
      <c r="E108" s="51">
        <f t="shared" si="13"/>
        <v>0</v>
      </c>
      <c r="F108" s="161"/>
      <c r="G108" s="162"/>
      <c r="H108" s="162"/>
      <c r="I108" s="162"/>
      <c r="J108" s="162"/>
      <c r="K108" s="51">
        <f t="shared" si="14"/>
        <v>19200</v>
      </c>
      <c r="L108" s="169"/>
      <c r="M108" s="135">
        <v>0</v>
      </c>
      <c r="N108" s="170"/>
      <c r="O108" s="170"/>
      <c r="P108" s="170">
        <v>0</v>
      </c>
      <c r="Q108" s="170"/>
      <c r="R108" s="170"/>
      <c r="S108" s="170"/>
      <c r="T108" s="170">
        <v>0</v>
      </c>
      <c r="U108" s="170"/>
      <c r="V108" s="170"/>
      <c r="W108" s="171">
        <v>19200</v>
      </c>
    </row>
    <row r="109" spans="1:23">
      <c r="A109" s="172">
        <v>12</v>
      </c>
      <c r="B109" s="103" t="s">
        <v>34</v>
      </c>
      <c r="C109" s="173" t="s">
        <v>66</v>
      </c>
      <c r="D109" s="51">
        <f t="shared" si="12"/>
        <v>12000</v>
      </c>
      <c r="E109" s="51">
        <f t="shared" si="13"/>
        <v>0</v>
      </c>
      <c r="F109" s="170"/>
      <c r="G109" s="135"/>
      <c r="H109" s="135"/>
      <c r="I109" s="135"/>
      <c r="J109" s="135"/>
      <c r="K109" s="51">
        <f t="shared" si="14"/>
        <v>12000</v>
      </c>
      <c r="L109" s="169"/>
      <c r="M109" s="135">
        <v>3120</v>
      </c>
      <c r="N109" s="170"/>
      <c r="O109" s="170"/>
      <c r="P109" s="163">
        <v>2560</v>
      </c>
      <c r="Q109" s="170"/>
      <c r="R109" s="170"/>
      <c r="S109" s="170">
        <v>1480</v>
      </c>
      <c r="T109" s="170">
        <v>0</v>
      </c>
      <c r="U109" s="170">
        <v>2440</v>
      </c>
      <c r="V109" s="170">
        <v>2400</v>
      </c>
      <c r="W109" s="171">
        <v>0</v>
      </c>
    </row>
    <row r="110" spans="1:23">
      <c r="A110" s="172">
        <v>13</v>
      </c>
      <c r="B110" s="103" t="s">
        <v>34</v>
      </c>
      <c r="C110" s="174" t="s">
        <v>231</v>
      </c>
      <c r="D110" s="51">
        <f t="shared" si="12"/>
        <v>20639</v>
      </c>
      <c r="E110" s="51">
        <f t="shared" si="13"/>
        <v>0</v>
      </c>
      <c r="F110" s="170"/>
      <c r="G110" s="135"/>
      <c r="H110" s="135"/>
      <c r="I110" s="135"/>
      <c r="J110" s="135"/>
      <c r="K110" s="51">
        <f t="shared" si="14"/>
        <v>20639</v>
      </c>
      <c r="L110" s="169">
        <v>530</v>
      </c>
      <c r="M110" s="135">
        <v>1200</v>
      </c>
      <c r="N110" s="175">
        <v>1079</v>
      </c>
      <c r="O110" s="170">
        <v>5000</v>
      </c>
      <c r="P110" s="170">
        <v>0</v>
      </c>
      <c r="Q110" s="170"/>
      <c r="R110" s="170">
        <v>5000</v>
      </c>
      <c r="S110" s="170">
        <v>330</v>
      </c>
      <c r="T110" s="170">
        <v>7500</v>
      </c>
      <c r="U110" s="170"/>
      <c r="V110" s="170"/>
      <c r="W110" s="171">
        <v>0</v>
      </c>
    </row>
    <row r="111" spans="1:23">
      <c r="A111" s="172">
        <v>15</v>
      </c>
      <c r="B111" s="103" t="s">
        <v>34</v>
      </c>
      <c r="C111" s="174" t="s">
        <v>67</v>
      </c>
      <c r="D111" s="51">
        <f t="shared" si="12"/>
        <v>15000</v>
      </c>
      <c r="E111" s="51">
        <f t="shared" si="13"/>
        <v>0</v>
      </c>
      <c r="F111" s="170"/>
      <c r="G111" s="135"/>
      <c r="H111" s="135"/>
      <c r="I111" s="135"/>
      <c r="J111" s="135"/>
      <c r="K111" s="51">
        <f t="shared" si="14"/>
        <v>15000</v>
      </c>
      <c r="L111" s="169"/>
      <c r="M111" s="135">
        <v>1000</v>
      </c>
      <c r="N111" s="170"/>
      <c r="O111" s="170">
        <v>5000</v>
      </c>
      <c r="P111" s="163">
        <v>9000</v>
      </c>
      <c r="Q111" s="170"/>
      <c r="R111" s="170"/>
      <c r="S111" s="170"/>
      <c r="T111" s="170">
        <v>0</v>
      </c>
      <c r="U111" s="170"/>
      <c r="V111" s="170"/>
      <c r="W111" s="171">
        <v>0</v>
      </c>
    </row>
    <row r="112" spans="1:23" ht="45">
      <c r="A112" s="172">
        <v>16</v>
      </c>
      <c r="B112" s="103" t="s">
        <v>34</v>
      </c>
      <c r="C112" s="174" t="s">
        <v>425</v>
      </c>
      <c r="D112" s="51">
        <f t="shared" si="12"/>
        <v>26250</v>
      </c>
      <c r="E112" s="51">
        <f t="shared" si="13"/>
        <v>13200</v>
      </c>
      <c r="F112" s="170">
        <f>13200</f>
        <v>13200</v>
      </c>
      <c r="G112" s="135"/>
      <c r="H112" s="135"/>
      <c r="I112" s="135"/>
      <c r="J112" s="135"/>
      <c r="K112" s="51">
        <f t="shared" si="14"/>
        <v>13050</v>
      </c>
      <c r="L112" s="169">
        <v>10050</v>
      </c>
      <c r="M112" s="135">
        <v>0</v>
      </c>
      <c r="N112" s="170"/>
      <c r="O112" s="170">
        <v>3000</v>
      </c>
      <c r="P112" s="163"/>
      <c r="Q112" s="170"/>
      <c r="R112" s="170"/>
      <c r="S112" s="170"/>
      <c r="T112" s="170">
        <v>0</v>
      </c>
      <c r="U112" s="170"/>
      <c r="V112" s="170"/>
      <c r="W112" s="171">
        <v>0</v>
      </c>
    </row>
    <row r="113" spans="1:23">
      <c r="A113" s="172">
        <v>17</v>
      </c>
      <c r="B113" s="103" t="s">
        <v>34</v>
      </c>
      <c r="C113" s="174" t="s">
        <v>426</v>
      </c>
      <c r="D113" s="51">
        <f t="shared" si="12"/>
        <v>18400</v>
      </c>
      <c r="E113" s="51">
        <f t="shared" si="13"/>
        <v>18400</v>
      </c>
      <c r="F113" s="170">
        <v>18400</v>
      </c>
      <c r="G113" s="135"/>
      <c r="H113" s="135"/>
      <c r="I113" s="135"/>
      <c r="J113" s="135"/>
      <c r="K113" s="51">
        <f t="shared" si="14"/>
        <v>0</v>
      </c>
      <c r="L113" s="169"/>
      <c r="M113" s="135"/>
      <c r="N113" s="170"/>
      <c r="O113" s="170"/>
      <c r="P113" s="163"/>
      <c r="Q113" s="170"/>
      <c r="R113" s="170"/>
      <c r="S113" s="170"/>
      <c r="T113" s="170"/>
      <c r="U113" s="170"/>
      <c r="V113" s="170"/>
      <c r="W113" s="171"/>
    </row>
    <row r="114" spans="1:23">
      <c r="A114" s="172">
        <v>18</v>
      </c>
      <c r="B114" s="103" t="s">
        <v>34</v>
      </c>
      <c r="C114" s="106" t="s">
        <v>290</v>
      </c>
      <c r="D114" s="51">
        <f t="shared" si="12"/>
        <v>4948</v>
      </c>
      <c r="E114" s="51">
        <f t="shared" si="13"/>
        <v>0</v>
      </c>
      <c r="F114" s="170"/>
      <c r="G114" s="135"/>
      <c r="H114" s="135"/>
      <c r="I114" s="135"/>
      <c r="J114" s="135"/>
      <c r="K114" s="51">
        <f t="shared" si="14"/>
        <v>4948</v>
      </c>
      <c r="L114" s="169"/>
      <c r="M114" s="135"/>
      <c r="N114" s="170"/>
      <c r="O114" s="170"/>
      <c r="P114" s="163"/>
      <c r="Q114" s="170">
        <v>4948</v>
      </c>
      <c r="R114" s="170"/>
      <c r="S114" s="170"/>
      <c r="T114" s="170"/>
      <c r="U114" s="170"/>
      <c r="V114" s="170"/>
      <c r="W114" s="171"/>
    </row>
    <row r="115" spans="1:23">
      <c r="A115" s="172">
        <v>19</v>
      </c>
      <c r="B115" s="103" t="s">
        <v>34</v>
      </c>
      <c r="C115" s="106" t="s">
        <v>292</v>
      </c>
      <c r="D115" s="51">
        <f t="shared" si="12"/>
        <v>91483</v>
      </c>
      <c r="E115" s="51">
        <f t="shared" si="13"/>
        <v>0</v>
      </c>
      <c r="F115" s="170"/>
      <c r="G115" s="135"/>
      <c r="H115" s="135"/>
      <c r="I115" s="135"/>
      <c r="J115" s="135"/>
      <c r="K115" s="51">
        <f t="shared" si="14"/>
        <v>91483</v>
      </c>
      <c r="L115" s="169">
        <v>6103</v>
      </c>
      <c r="M115" s="135">
        <v>6200</v>
      </c>
      <c r="N115" s="170">
        <v>6000</v>
      </c>
      <c r="O115" s="170">
        <v>6000</v>
      </c>
      <c r="P115" s="163">
        <v>2880</v>
      </c>
      <c r="Q115" s="170">
        <v>6000</v>
      </c>
      <c r="R115" s="170">
        <v>12000</v>
      </c>
      <c r="S115" s="170">
        <v>11100</v>
      </c>
      <c r="T115" s="170">
        <v>12000</v>
      </c>
      <c r="U115" s="170">
        <v>5000</v>
      </c>
      <c r="V115" s="170">
        <v>12000</v>
      </c>
      <c r="W115" s="171">
        <v>6200</v>
      </c>
    </row>
    <row r="116" spans="1:23">
      <c r="A116" s="172">
        <v>20</v>
      </c>
      <c r="B116" s="103" t="s">
        <v>34</v>
      </c>
      <c r="C116" s="106" t="s">
        <v>291</v>
      </c>
      <c r="D116" s="51">
        <f t="shared" si="12"/>
        <v>17400</v>
      </c>
      <c r="E116" s="51">
        <f t="shared" si="13"/>
        <v>11820</v>
      </c>
      <c r="F116" s="170">
        <f>6460+5360</f>
        <v>11820</v>
      </c>
      <c r="G116" s="135"/>
      <c r="H116" s="135"/>
      <c r="I116" s="135"/>
      <c r="J116" s="135"/>
      <c r="K116" s="51">
        <f t="shared" si="14"/>
        <v>5580</v>
      </c>
      <c r="L116" s="169"/>
      <c r="M116" s="135"/>
      <c r="N116" s="170"/>
      <c r="O116" s="170"/>
      <c r="P116" s="163"/>
      <c r="Q116" s="170"/>
      <c r="R116" s="170"/>
      <c r="S116" s="170">
        <v>5580</v>
      </c>
      <c r="T116" s="170"/>
      <c r="U116" s="170"/>
      <c r="V116" s="170"/>
      <c r="W116" s="171"/>
    </row>
    <row r="117" spans="1:23" ht="33.75">
      <c r="A117" s="172">
        <v>21</v>
      </c>
      <c r="B117" s="103" t="s">
        <v>34</v>
      </c>
      <c r="C117" s="174" t="s">
        <v>427</v>
      </c>
      <c r="D117" s="51">
        <f t="shared" si="12"/>
        <v>141120</v>
      </c>
      <c r="E117" s="51">
        <f t="shared" si="13"/>
        <v>141120</v>
      </c>
      <c r="F117" s="170">
        <f>141120</f>
        <v>141120</v>
      </c>
      <c r="G117" s="135"/>
      <c r="H117" s="135"/>
      <c r="I117" s="135"/>
      <c r="J117" s="135"/>
      <c r="K117" s="51">
        <f t="shared" si="14"/>
        <v>0</v>
      </c>
      <c r="L117" s="169"/>
      <c r="M117" s="135"/>
      <c r="N117" s="170"/>
      <c r="O117" s="170"/>
      <c r="P117" s="163"/>
      <c r="Q117" s="170"/>
      <c r="R117" s="170"/>
      <c r="S117" s="170"/>
      <c r="T117" s="170"/>
      <c r="U117" s="170"/>
      <c r="V117" s="170"/>
      <c r="W117" s="171"/>
    </row>
    <row r="118" spans="1:23">
      <c r="A118" s="172">
        <v>22</v>
      </c>
      <c r="B118" s="103" t="s">
        <v>34</v>
      </c>
      <c r="C118" s="174" t="s">
        <v>428</v>
      </c>
      <c r="D118" s="51">
        <f t="shared" si="12"/>
        <v>13470</v>
      </c>
      <c r="E118" s="51">
        <f t="shared" si="13"/>
        <v>6380</v>
      </c>
      <c r="F118" s="170">
        <v>6380</v>
      </c>
      <c r="G118" s="135"/>
      <c r="H118" s="135"/>
      <c r="I118" s="135"/>
      <c r="J118" s="135"/>
      <c r="K118" s="51">
        <f t="shared" si="14"/>
        <v>7090</v>
      </c>
      <c r="L118" s="169"/>
      <c r="M118" s="135"/>
      <c r="N118" s="170"/>
      <c r="O118" s="170"/>
      <c r="P118" s="163"/>
      <c r="Q118" s="170"/>
      <c r="R118" s="170"/>
      <c r="S118" s="170">
        <v>7090</v>
      </c>
      <c r="T118" s="170"/>
      <c r="U118" s="170"/>
      <c r="V118" s="170"/>
      <c r="W118" s="171"/>
    </row>
    <row r="119" spans="1:23" s="3" customFormat="1" ht="10.5">
      <c r="A119" s="131" t="s">
        <v>254</v>
      </c>
      <c r="B119" s="98" t="s">
        <v>34</v>
      </c>
      <c r="C119" s="132" t="s">
        <v>21</v>
      </c>
      <c r="D119" s="51">
        <f t="shared" si="12"/>
        <v>4040835</v>
      </c>
      <c r="E119" s="51">
        <f t="shared" si="13"/>
        <v>771000</v>
      </c>
      <c r="F119" s="101">
        <f>SUM(F120:F149)</f>
        <v>771000</v>
      </c>
      <c r="G119" s="101">
        <f t="shared" ref="G119:W119" si="17">SUM(G120:G149)</f>
        <v>0</v>
      </c>
      <c r="H119" s="101">
        <f t="shared" si="17"/>
        <v>0</v>
      </c>
      <c r="I119" s="101">
        <f t="shared" si="17"/>
        <v>0</v>
      </c>
      <c r="J119" s="101">
        <f t="shared" si="17"/>
        <v>0</v>
      </c>
      <c r="K119" s="51">
        <f t="shared" si="14"/>
        <v>3269835</v>
      </c>
      <c r="L119" s="101">
        <f t="shared" si="17"/>
        <v>9974</v>
      </c>
      <c r="M119" s="101">
        <f t="shared" si="17"/>
        <v>42100</v>
      </c>
      <c r="N119" s="101">
        <f t="shared" si="17"/>
        <v>73838</v>
      </c>
      <c r="O119" s="101">
        <f t="shared" si="17"/>
        <v>343015</v>
      </c>
      <c r="P119" s="101">
        <f t="shared" si="17"/>
        <v>280536</v>
      </c>
      <c r="Q119" s="101">
        <f t="shared" si="17"/>
        <v>52645</v>
      </c>
      <c r="R119" s="101">
        <f t="shared" si="17"/>
        <v>481230</v>
      </c>
      <c r="S119" s="101">
        <f t="shared" si="17"/>
        <v>396360</v>
      </c>
      <c r="T119" s="101">
        <f t="shared" si="17"/>
        <v>745357</v>
      </c>
      <c r="U119" s="101">
        <f t="shared" si="17"/>
        <v>254560</v>
      </c>
      <c r="V119" s="101">
        <f t="shared" si="17"/>
        <v>317090</v>
      </c>
      <c r="W119" s="101">
        <f t="shared" si="17"/>
        <v>273130</v>
      </c>
    </row>
    <row r="120" spans="1:23" ht="22.5">
      <c r="A120" s="142">
        <v>1</v>
      </c>
      <c r="B120" s="103" t="s">
        <v>34</v>
      </c>
      <c r="C120" s="180" t="s">
        <v>538</v>
      </c>
      <c r="D120" s="51">
        <f t="shared" si="12"/>
        <v>217640</v>
      </c>
      <c r="E120" s="51">
        <f t="shared" si="13"/>
        <v>16000</v>
      </c>
      <c r="F120" s="179">
        <v>16000</v>
      </c>
      <c r="G120" s="135"/>
      <c r="H120" s="135"/>
      <c r="I120" s="135"/>
      <c r="J120" s="135"/>
      <c r="K120" s="51">
        <f t="shared" si="14"/>
        <v>201640</v>
      </c>
      <c r="L120" s="169"/>
      <c r="M120" s="170"/>
      <c r="N120" s="170">
        <v>4800</v>
      </c>
      <c r="O120" s="170">
        <v>6000</v>
      </c>
      <c r="P120" s="170">
        <v>16000</v>
      </c>
      <c r="Q120" s="170">
        <v>3840</v>
      </c>
      <c r="R120" s="147">
        <v>50000</v>
      </c>
      <c r="S120" s="170">
        <v>47520</v>
      </c>
      <c r="T120" s="170">
        <v>34760</v>
      </c>
      <c r="U120" s="170">
        <v>8640</v>
      </c>
      <c r="V120" s="170">
        <v>2080</v>
      </c>
      <c r="W120" s="171">
        <v>28000</v>
      </c>
    </row>
    <row r="121" spans="1:23">
      <c r="A121" s="142">
        <v>2</v>
      </c>
      <c r="B121" s="103" t="s">
        <v>34</v>
      </c>
      <c r="C121" s="339" t="s">
        <v>68</v>
      </c>
      <c r="D121" s="51">
        <f t="shared" si="12"/>
        <v>318220</v>
      </c>
      <c r="E121" s="51">
        <f t="shared" si="13"/>
        <v>115000</v>
      </c>
      <c r="F121" s="152">
        <v>115000</v>
      </c>
      <c r="G121" s="152"/>
      <c r="H121" s="152"/>
      <c r="I121" s="152"/>
      <c r="J121" s="152"/>
      <c r="K121" s="51">
        <f t="shared" si="14"/>
        <v>203220</v>
      </c>
      <c r="L121" s="152">
        <v>9800</v>
      </c>
      <c r="M121" s="152">
        <v>17000</v>
      </c>
      <c r="N121" s="152">
        <v>1180</v>
      </c>
      <c r="O121" s="152">
        <v>23900</v>
      </c>
      <c r="P121" s="152">
        <v>37820</v>
      </c>
      <c r="Q121" s="152">
        <v>1260</v>
      </c>
      <c r="R121" s="152">
        <v>42900</v>
      </c>
      <c r="S121" s="152">
        <v>38340</v>
      </c>
      <c r="T121" s="152"/>
      <c r="U121" s="152">
        <v>9040</v>
      </c>
      <c r="V121" s="152">
        <v>8690</v>
      </c>
      <c r="W121" s="152">
        <v>13290</v>
      </c>
    </row>
    <row r="122" spans="1:23">
      <c r="A122" s="142">
        <v>3</v>
      </c>
      <c r="B122" s="103" t="s">
        <v>34</v>
      </c>
      <c r="C122" s="339" t="s">
        <v>69</v>
      </c>
      <c r="D122" s="51">
        <f t="shared" si="12"/>
        <v>1200</v>
      </c>
      <c r="E122" s="51">
        <f t="shared" si="13"/>
        <v>0</v>
      </c>
      <c r="F122" s="179"/>
      <c r="G122" s="135"/>
      <c r="H122" s="135"/>
      <c r="I122" s="135"/>
      <c r="J122" s="135"/>
      <c r="K122" s="51">
        <f t="shared" si="14"/>
        <v>1200</v>
      </c>
      <c r="L122" s="169"/>
      <c r="M122" s="135">
        <v>1200</v>
      </c>
      <c r="N122" s="170"/>
      <c r="O122" s="170"/>
      <c r="P122" s="170"/>
      <c r="Q122" s="170"/>
      <c r="R122" s="147"/>
      <c r="S122" s="170"/>
      <c r="T122" s="176"/>
      <c r="U122" s="170"/>
      <c r="V122" s="170"/>
      <c r="W122" s="171"/>
    </row>
    <row r="123" spans="1:23" ht="22.5">
      <c r="A123" s="142">
        <v>4</v>
      </c>
      <c r="B123" s="103" t="s">
        <v>34</v>
      </c>
      <c r="C123" s="180" t="s">
        <v>539</v>
      </c>
      <c r="D123" s="51">
        <f t="shared" si="12"/>
        <v>29800</v>
      </c>
      <c r="E123" s="51">
        <f t="shared" si="13"/>
        <v>25000</v>
      </c>
      <c r="F123" s="179">
        <v>25000</v>
      </c>
      <c r="G123" s="135"/>
      <c r="H123" s="135"/>
      <c r="I123" s="135"/>
      <c r="J123" s="135"/>
      <c r="K123" s="51">
        <f t="shared" si="14"/>
        <v>4800</v>
      </c>
      <c r="L123" s="169"/>
      <c r="M123" s="135">
        <v>1200</v>
      </c>
      <c r="N123" s="170"/>
      <c r="O123" s="170"/>
      <c r="P123" s="170"/>
      <c r="Q123" s="170"/>
      <c r="R123" s="147"/>
      <c r="S123" s="170"/>
      <c r="T123" s="176">
        <v>2600</v>
      </c>
      <c r="U123" s="170"/>
      <c r="V123" s="170"/>
      <c r="W123" s="171">
        <v>1000</v>
      </c>
    </row>
    <row r="124" spans="1:23">
      <c r="A124" s="142">
        <v>6</v>
      </c>
      <c r="B124" s="103" t="s">
        <v>34</v>
      </c>
      <c r="C124" s="339" t="s">
        <v>70</v>
      </c>
      <c r="D124" s="51">
        <f t="shared" si="12"/>
        <v>12400</v>
      </c>
      <c r="E124" s="51">
        <f t="shared" si="13"/>
        <v>0</v>
      </c>
      <c r="F124" s="179"/>
      <c r="G124" s="135"/>
      <c r="H124" s="135"/>
      <c r="I124" s="135"/>
      <c r="J124" s="135"/>
      <c r="K124" s="51">
        <f t="shared" si="14"/>
        <v>12400</v>
      </c>
      <c r="L124" s="169"/>
      <c r="M124" s="135">
        <v>1500</v>
      </c>
      <c r="N124" s="170">
        <v>200</v>
      </c>
      <c r="O124" s="170">
        <v>2000</v>
      </c>
      <c r="P124" s="170">
        <v>5000</v>
      </c>
      <c r="Q124" s="170"/>
      <c r="R124" s="147"/>
      <c r="S124" s="170"/>
      <c r="T124" s="176"/>
      <c r="U124" s="170">
        <v>1500</v>
      </c>
      <c r="V124" s="152"/>
      <c r="W124" s="171">
        <v>2200</v>
      </c>
    </row>
    <row r="125" spans="1:23">
      <c r="A125" s="142">
        <v>7</v>
      </c>
      <c r="B125" s="103" t="s">
        <v>34</v>
      </c>
      <c r="C125" s="339" t="s">
        <v>523</v>
      </c>
      <c r="D125" s="51">
        <f t="shared" si="12"/>
        <v>10000</v>
      </c>
      <c r="E125" s="51">
        <f t="shared" si="13"/>
        <v>10000</v>
      </c>
      <c r="F125" s="179">
        <v>10000</v>
      </c>
      <c r="G125" s="135"/>
      <c r="H125" s="135"/>
      <c r="I125" s="135"/>
      <c r="J125" s="135"/>
      <c r="K125" s="51">
        <f t="shared" si="14"/>
        <v>0</v>
      </c>
      <c r="L125" s="169"/>
      <c r="M125" s="135"/>
      <c r="N125" s="170"/>
      <c r="O125" s="170"/>
      <c r="P125" s="170"/>
      <c r="Q125" s="170"/>
      <c r="R125" s="147"/>
      <c r="S125" s="170"/>
      <c r="T125" s="176"/>
      <c r="U125" s="170"/>
      <c r="V125" s="170"/>
      <c r="W125" s="171"/>
    </row>
    <row r="126" spans="1:23">
      <c r="A126" s="142">
        <v>8</v>
      </c>
      <c r="B126" s="103" t="s">
        <v>34</v>
      </c>
      <c r="C126" s="339" t="s">
        <v>71</v>
      </c>
      <c r="D126" s="51">
        <f t="shared" si="12"/>
        <v>212060</v>
      </c>
      <c r="E126" s="51">
        <f t="shared" si="13"/>
        <v>135000</v>
      </c>
      <c r="F126" s="179">
        <v>135000</v>
      </c>
      <c r="G126" s="135"/>
      <c r="H126" s="135"/>
      <c r="I126" s="135"/>
      <c r="J126" s="135"/>
      <c r="K126" s="51">
        <f t="shared" si="14"/>
        <v>77060</v>
      </c>
      <c r="L126" s="169"/>
      <c r="M126" s="135">
        <v>1200</v>
      </c>
      <c r="N126" s="170">
        <v>1920</v>
      </c>
      <c r="O126" s="170">
        <v>16000</v>
      </c>
      <c r="P126" s="170"/>
      <c r="Q126" s="170"/>
      <c r="R126" s="147">
        <v>3300</v>
      </c>
      <c r="S126" s="170"/>
      <c r="T126" s="176"/>
      <c r="U126" s="170"/>
      <c r="V126" s="170">
        <v>48640</v>
      </c>
      <c r="W126" s="171">
        <v>6000</v>
      </c>
    </row>
    <row r="127" spans="1:23" ht="22.5">
      <c r="A127" s="142">
        <v>9</v>
      </c>
      <c r="B127" s="103" t="s">
        <v>34</v>
      </c>
      <c r="C127" s="180" t="s">
        <v>540</v>
      </c>
      <c r="D127" s="51">
        <f t="shared" si="12"/>
        <v>83136</v>
      </c>
      <c r="E127" s="51">
        <f t="shared" si="13"/>
        <v>0</v>
      </c>
      <c r="F127" s="179"/>
      <c r="G127" s="135"/>
      <c r="H127" s="135"/>
      <c r="I127" s="135"/>
      <c r="J127" s="135"/>
      <c r="K127" s="51">
        <f t="shared" si="14"/>
        <v>83136</v>
      </c>
      <c r="L127" s="169"/>
      <c r="M127" s="135">
        <v>2500</v>
      </c>
      <c r="N127" s="170">
        <v>520</v>
      </c>
      <c r="O127" s="170">
        <v>7200</v>
      </c>
      <c r="P127" s="170">
        <v>7836</v>
      </c>
      <c r="Q127" s="170"/>
      <c r="R127" s="147">
        <v>3040</v>
      </c>
      <c r="S127" s="170"/>
      <c r="T127" s="176">
        <v>42560</v>
      </c>
      <c r="U127" s="170">
        <v>17280</v>
      </c>
      <c r="V127" s="170"/>
      <c r="W127" s="171">
        <v>2200</v>
      </c>
    </row>
    <row r="128" spans="1:23">
      <c r="A128" s="142">
        <v>10</v>
      </c>
      <c r="B128" s="103" t="s">
        <v>34</v>
      </c>
      <c r="C128" s="339" t="s">
        <v>72</v>
      </c>
      <c r="D128" s="51">
        <f t="shared" si="12"/>
        <v>8570</v>
      </c>
      <c r="E128" s="51">
        <f t="shared" si="13"/>
        <v>0</v>
      </c>
      <c r="F128" s="179"/>
      <c r="G128" s="135"/>
      <c r="H128" s="135"/>
      <c r="I128" s="135"/>
      <c r="J128" s="135"/>
      <c r="K128" s="51">
        <f t="shared" si="14"/>
        <v>8570</v>
      </c>
      <c r="L128" s="169"/>
      <c r="M128" s="135"/>
      <c r="N128" s="170">
        <v>520</v>
      </c>
      <c r="O128" s="170">
        <v>7000</v>
      </c>
      <c r="P128" s="170"/>
      <c r="Q128" s="170"/>
      <c r="R128" s="147"/>
      <c r="S128" s="170"/>
      <c r="T128" s="176"/>
      <c r="U128" s="170"/>
      <c r="V128" s="170"/>
      <c r="W128" s="171">
        <v>1050</v>
      </c>
    </row>
    <row r="129" spans="1:23">
      <c r="A129" s="142">
        <v>11</v>
      </c>
      <c r="B129" s="103" t="s">
        <v>34</v>
      </c>
      <c r="C129" s="339" t="s">
        <v>524</v>
      </c>
      <c r="D129" s="51">
        <f t="shared" si="12"/>
        <v>253461</v>
      </c>
      <c r="E129" s="51">
        <f t="shared" si="13"/>
        <v>0</v>
      </c>
      <c r="F129" s="179"/>
      <c r="G129" s="135"/>
      <c r="H129" s="135"/>
      <c r="I129" s="135"/>
      <c r="J129" s="135"/>
      <c r="K129" s="51">
        <f t="shared" si="14"/>
        <v>253461</v>
      </c>
      <c r="L129" s="169"/>
      <c r="M129" s="135">
        <v>4000</v>
      </c>
      <c r="N129" s="170">
        <v>300</v>
      </c>
      <c r="O129" s="170">
        <v>28800</v>
      </c>
      <c r="P129" s="163">
        <v>6400</v>
      </c>
      <c r="Q129" s="170">
        <v>8121</v>
      </c>
      <c r="R129" s="147">
        <v>7680</v>
      </c>
      <c r="S129" s="170">
        <v>15000</v>
      </c>
      <c r="T129" s="176">
        <v>71520</v>
      </c>
      <c r="U129" s="170">
        <v>37400</v>
      </c>
      <c r="V129" s="170">
        <v>52000</v>
      </c>
      <c r="W129" s="171">
        <v>22240</v>
      </c>
    </row>
    <row r="130" spans="1:23" ht="22.5">
      <c r="A130" s="142">
        <v>12</v>
      </c>
      <c r="B130" s="103" t="s">
        <v>34</v>
      </c>
      <c r="C130" s="180" t="s">
        <v>541</v>
      </c>
      <c r="D130" s="51">
        <f t="shared" si="12"/>
        <v>296952</v>
      </c>
      <c r="E130" s="51">
        <f t="shared" si="13"/>
        <v>65000</v>
      </c>
      <c r="F130" s="179">
        <v>65000</v>
      </c>
      <c r="G130" s="135"/>
      <c r="H130" s="135"/>
      <c r="I130" s="135"/>
      <c r="J130" s="135"/>
      <c r="K130" s="51">
        <f t="shared" si="14"/>
        <v>231952</v>
      </c>
      <c r="L130" s="136"/>
      <c r="M130" s="135">
        <v>4000</v>
      </c>
      <c r="N130" s="177">
        <v>10520</v>
      </c>
      <c r="O130" s="177">
        <v>115240</v>
      </c>
      <c r="P130" s="177">
        <v>20000</v>
      </c>
      <c r="Q130" s="177">
        <v>1280</v>
      </c>
      <c r="R130" s="147">
        <v>18240</v>
      </c>
      <c r="S130" s="177"/>
      <c r="T130" s="178">
        <v>51152</v>
      </c>
      <c r="U130" s="177"/>
      <c r="V130" s="177"/>
      <c r="W130" s="171">
        <v>11520</v>
      </c>
    </row>
    <row r="131" spans="1:23">
      <c r="A131" s="142">
        <v>13</v>
      </c>
      <c r="B131" s="103" t="s">
        <v>34</v>
      </c>
      <c r="C131" s="339" t="s">
        <v>60</v>
      </c>
      <c r="D131" s="51">
        <f t="shared" si="12"/>
        <v>25800</v>
      </c>
      <c r="E131" s="51">
        <f t="shared" si="13"/>
        <v>5000</v>
      </c>
      <c r="F131" s="179">
        <v>5000</v>
      </c>
      <c r="G131" s="135"/>
      <c r="H131" s="135"/>
      <c r="I131" s="135"/>
      <c r="J131" s="135"/>
      <c r="K131" s="51">
        <f t="shared" si="14"/>
        <v>20800</v>
      </c>
      <c r="L131" s="136"/>
      <c r="M131" s="135"/>
      <c r="N131" s="179">
        <v>500</v>
      </c>
      <c r="O131" s="179">
        <v>7800</v>
      </c>
      <c r="P131" s="179"/>
      <c r="Q131" s="179"/>
      <c r="R131" s="147">
        <v>12500</v>
      </c>
      <c r="S131" s="179"/>
      <c r="T131" s="178"/>
      <c r="U131" s="179"/>
      <c r="V131" s="179"/>
      <c r="W131" s="171"/>
    </row>
    <row r="132" spans="1:23" ht="22.5">
      <c r="A132" s="142">
        <v>14</v>
      </c>
      <c r="B132" s="103" t="s">
        <v>34</v>
      </c>
      <c r="C132" s="180" t="s">
        <v>542</v>
      </c>
      <c r="D132" s="51">
        <f t="shared" si="12"/>
        <v>110224</v>
      </c>
      <c r="E132" s="51">
        <f t="shared" si="13"/>
        <v>0</v>
      </c>
      <c r="F132" s="179"/>
      <c r="G132" s="135"/>
      <c r="H132" s="135"/>
      <c r="I132" s="135"/>
      <c r="J132" s="135"/>
      <c r="K132" s="51">
        <f t="shared" si="14"/>
        <v>110224</v>
      </c>
      <c r="L132" s="136">
        <v>174</v>
      </c>
      <c r="M132" s="135">
        <v>1500</v>
      </c>
      <c r="N132" s="181">
        <v>220</v>
      </c>
      <c r="O132" s="179">
        <v>12000</v>
      </c>
      <c r="P132" s="163">
        <v>9000</v>
      </c>
      <c r="Q132" s="179"/>
      <c r="R132" s="147">
        <v>29600</v>
      </c>
      <c r="S132" s="179">
        <v>8800</v>
      </c>
      <c r="T132" s="178">
        <v>20000</v>
      </c>
      <c r="U132" s="179">
        <v>10300</v>
      </c>
      <c r="V132" s="179">
        <v>12480</v>
      </c>
      <c r="W132" s="171">
        <v>6150</v>
      </c>
    </row>
    <row r="133" spans="1:23" ht="22.5">
      <c r="A133" s="142">
        <v>15</v>
      </c>
      <c r="B133" s="103" t="s">
        <v>34</v>
      </c>
      <c r="C133" s="180" t="s">
        <v>543</v>
      </c>
      <c r="D133" s="51">
        <f t="shared" si="12"/>
        <v>1039120</v>
      </c>
      <c r="E133" s="51">
        <f t="shared" si="13"/>
        <v>0</v>
      </c>
      <c r="F133" s="152"/>
      <c r="G133" s="152"/>
      <c r="H133" s="152"/>
      <c r="I133" s="152"/>
      <c r="J133" s="152"/>
      <c r="K133" s="51">
        <f t="shared" si="14"/>
        <v>1039120</v>
      </c>
      <c r="L133" s="152"/>
      <c r="M133" s="152">
        <v>2500</v>
      </c>
      <c r="N133" s="152">
        <v>20000</v>
      </c>
      <c r="O133" s="152">
        <v>80000</v>
      </c>
      <c r="P133" s="152">
        <v>110000</v>
      </c>
      <c r="Q133" s="152">
        <v>9120</v>
      </c>
      <c r="R133" s="152">
        <v>147000</v>
      </c>
      <c r="S133" s="152">
        <v>162200</v>
      </c>
      <c r="T133" s="152">
        <v>326000</v>
      </c>
      <c r="U133" s="152">
        <v>64400</v>
      </c>
      <c r="V133" s="152">
        <v>57600</v>
      </c>
      <c r="W133" s="152">
        <v>60300</v>
      </c>
    </row>
    <row r="134" spans="1:23">
      <c r="A134" s="142">
        <v>16</v>
      </c>
      <c r="B134" s="103" t="s">
        <v>34</v>
      </c>
      <c r="C134" s="182" t="s">
        <v>206</v>
      </c>
      <c r="D134" s="51">
        <f t="shared" si="12"/>
        <v>119658</v>
      </c>
      <c r="E134" s="51">
        <f t="shared" si="13"/>
        <v>0</v>
      </c>
      <c r="F134" s="179"/>
      <c r="G134" s="135"/>
      <c r="H134" s="135"/>
      <c r="I134" s="135"/>
      <c r="J134" s="135"/>
      <c r="K134" s="51">
        <f t="shared" si="14"/>
        <v>119658</v>
      </c>
      <c r="L134" s="136"/>
      <c r="M134" s="135">
        <v>1500</v>
      </c>
      <c r="N134" s="179">
        <v>1158</v>
      </c>
      <c r="O134" s="179">
        <v>5000</v>
      </c>
      <c r="P134" s="179"/>
      <c r="Q134" s="179"/>
      <c r="R134" s="147">
        <v>24000</v>
      </c>
      <c r="S134" s="179"/>
      <c r="T134" s="178">
        <v>20000</v>
      </c>
      <c r="U134" s="179">
        <v>24000</v>
      </c>
      <c r="V134" s="179">
        <v>24000</v>
      </c>
      <c r="W134" s="171">
        <v>20000</v>
      </c>
    </row>
    <row r="135" spans="1:23">
      <c r="A135" s="142">
        <v>17</v>
      </c>
      <c r="B135" s="103" t="s">
        <v>34</v>
      </c>
      <c r="C135" s="339" t="s">
        <v>73</v>
      </c>
      <c r="D135" s="51">
        <f t="shared" si="12"/>
        <v>70300</v>
      </c>
      <c r="E135" s="51">
        <f t="shared" si="13"/>
        <v>15000</v>
      </c>
      <c r="F135" s="179">
        <v>15000</v>
      </c>
      <c r="G135" s="135"/>
      <c r="H135" s="135"/>
      <c r="I135" s="135"/>
      <c r="J135" s="135"/>
      <c r="K135" s="51">
        <f t="shared" si="14"/>
        <v>55300</v>
      </c>
      <c r="L135" s="136"/>
      <c r="M135" s="135">
        <v>2500</v>
      </c>
      <c r="N135" s="179">
        <v>10000</v>
      </c>
      <c r="O135" s="179">
        <v>8000</v>
      </c>
      <c r="P135" s="163">
        <v>3000</v>
      </c>
      <c r="Q135" s="179"/>
      <c r="R135" s="147">
        <v>2000</v>
      </c>
      <c r="S135" s="179">
        <v>5300</v>
      </c>
      <c r="T135" s="178">
        <v>2000</v>
      </c>
      <c r="U135" s="179">
        <v>3000</v>
      </c>
      <c r="V135" s="179">
        <v>3000</v>
      </c>
      <c r="W135" s="171">
        <v>16500</v>
      </c>
    </row>
    <row r="136" spans="1:23" ht="22.5">
      <c r="A136" s="142">
        <v>18</v>
      </c>
      <c r="B136" s="103" t="s">
        <v>34</v>
      </c>
      <c r="C136" s="180" t="s">
        <v>585</v>
      </c>
      <c r="D136" s="51">
        <f t="shared" si="12"/>
        <v>510400</v>
      </c>
      <c r="E136" s="51">
        <f t="shared" si="13"/>
        <v>0</v>
      </c>
      <c r="F136" s="179"/>
      <c r="G136" s="152"/>
      <c r="H136" s="152"/>
      <c r="I136" s="152"/>
      <c r="J136" s="152"/>
      <c r="K136" s="51">
        <f t="shared" si="14"/>
        <v>510400</v>
      </c>
      <c r="L136" s="152"/>
      <c r="M136" s="152"/>
      <c r="N136" s="152">
        <v>22000</v>
      </c>
      <c r="O136" s="179"/>
      <c r="P136" s="163"/>
      <c r="Q136" s="179"/>
      <c r="R136" s="147"/>
      <c r="S136" s="179">
        <v>90000</v>
      </c>
      <c r="T136" s="178">
        <v>164400</v>
      </c>
      <c r="U136" s="179">
        <v>61200</v>
      </c>
      <c r="V136" s="179">
        <v>99000</v>
      </c>
      <c r="W136" s="170">
        <v>73800</v>
      </c>
    </row>
    <row r="137" spans="1:23">
      <c r="A137" s="142">
        <v>19</v>
      </c>
      <c r="B137" s="103" t="s">
        <v>34</v>
      </c>
      <c r="C137" s="183" t="s">
        <v>586</v>
      </c>
      <c r="D137" s="51">
        <f t="shared" si="12"/>
        <v>1200</v>
      </c>
      <c r="E137" s="51">
        <f t="shared" si="13"/>
        <v>0</v>
      </c>
      <c r="F137" s="179"/>
      <c r="G137" s="135"/>
      <c r="H137" s="135"/>
      <c r="I137" s="135"/>
      <c r="J137" s="135"/>
      <c r="K137" s="51">
        <f t="shared" si="14"/>
        <v>1200</v>
      </c>
      <c r="L137" s="135"/>
      <c r="M137" s="135"/>
      <c r="N137" s="135"/>
      <c r="O137" s="179"/>
      <c r="P137" s="163"/>
      <c r="Q137" s="179"/>
      <c r="R137" s="147"/>
      <c r="S137" s="179">
        <v>1200</v>
      </c>
      <c r="T137" s="178"/>
      <c r="U137" s="179"/>
      <c r="V137" s="184"/>
      <c r="W137" s="171"/>
    </row>
    <row r="138" spans="1:23">
      <c r="A138" s="142">
        <v>20</v>
      </c>
      <c r="B138" s="103" t="s">
        <v>34</v>
      </c>
      <c r="C138" s="183" t="s">
        <v>87</v>
      </c>
      <c r="D138" s="51">
        <f t="shared" ref="D138:D201" si="18">E138+K138</f>
        <v>68780</v>
      </c>
      <c r="E138" s="51">
        <f t="shared" ref="E138:E201" si="19">SUM(F138:J138)</f>
        <v>50000</v>
      </c>
      <c r="F138" s="179">
        <v>50000</v>
      </c>
      <c r="G138" s="135"/>
      <c r="H138" s="135"/>
      <c r="I138" s="135"/>
      <c r="J138" s="135"/>
      <c r="K138" s="51">
        <f t="shared" ref="K138:K201" si="20">SUM(L138:W138)</f>
        <v>18780</v>
      </c>
      <c r="L138" s="135"/>
      <c r="M138" s="135"/>
      <c r="N138" s="135"/>
      <c r="O138" s="179"/>
      <c r="P138" s="163"/>
      <c r="Q138" s="179"/>
      <c r="R138" s="147"/>
      <c r="S138" s="179"/>
      <c r="T138" s="178"/>
      <c r="U138" s="179">
        <v>9900</v>
      </c>
      <c r="V138" s="184"/>
      <c r="W138" s="171">
        <v>8880</v>
      </c>
    </row>
    <row r="139" spans="1:23">
      <c r="A139" s="142">
        <v>21</v>
      </c>
      <c r="B139" s="103" t="s">
        <v>34</v>
      </c>
      <c r="C139" s="104" t="s">
        <v>290</v>
      </c>
      <c r="D139" s="51">
        <f t="shared" si="18"/>
        <v>200000</v>
      </c>
      <c r="E139" s="51">
        <f t="shared" si="19"/>
        <v>200000</v>
      </c>
      <c r="F139" s="179">
        <v>200000</v>
      </c>
      <c r="G139" s="135"/>
      <c r="H139" s="135"/>
      <c r="I139" s="135"/>
      <c r="J139" s="135"/>
      <c r="K139" s="51">
        <f t="shared" si="20"/>
        <v>0</v>
      </c>
      <c r="L139" s="135"/>
      <c r="M139" s="135"/>
      <c r="N139" s="135"/>
      <c r="O139" s="179"/>
      <c r="P139" s="163"/>
      <c r="Q139" s="179"/>
      <c r="R139" s="147"/>
      <c r="S139" s="179"/>
      <c r="T139" s="178"/>
      <c r="U139" s="179"/>
      <c r="V139" s="184"/>
      <c r="W139" s="171"/>
    </row>
    <row r="140" spans="1:23">
      <c r="A140" s="142">
        <v>22</v>
      </c>
      <c r="B140" s="103" t="s">
        <v>34</v>
      </c>
      <c r="C140" s="104" t="s">
        <v>292</v>
      </c>
      <c r="D140" s="51">
        <f t="shared" si="18"/>
        <v>12075</v>
      </c>
      <c r="E140" s="51">
        <f t="shared" si="19"/>
        <v>0</v>
      </c>
      <c r="F140" s="179"/>
      <c r="G140" s="135"/>
      <c r="H140" s="135"/>
      <c r="I140" s="135"/>
      <c r="J140" s="135"/>
      <c r="K140" s="51">
        <f t="shared" si="20"/>
        <v>12075</v>
      </c>
      <c r="L140" s="135"/>
      <c r="M140" s="135"/>
      <c r="N140" s="135"/>
      <c r="O140" s="179">
        <v>12075</v>
      </c>
      <c r="P140" s="163"/>
      <c r="Q140" s="179"/>
      <c r="R140" s="147"/>
      <c r="S140" s="179"/>
      <c r="T140" s="178"/>
      <c r="U140" s="179"/>
      <c r="V140" s="184"/>
      <c r="W140" s="171"/>
    </row>
    <row r="141" spans="1:23">
      <c r="A141" s="142">
        <v>23</v>
      </c>
      <c r="B141" s="103" t="s">
        <v>34</v>
      </c>
      <c r="C141" s="104" t="s">
        <v>291</v>
      </c>
      <c r="D141" s="51">
        <f t="shared" si="18"/>
        <v>63184</v>
      </c>
      <c r="E141" s="51">
        <f t="shared" si="19"/>
        <v>0</v>
      </c>
      <c r="F141" s="179"/>
      <c r="G141" s="135"/>
      <c r="H141" s="135"/>
      <c r="I141" s="135"/>
      <c r="J141" s="135"/>
      <c r="K141" s="51">
        <f t="shared" si="20"/>
        <v>63184</v>
      </c>
      <c r="L141" s="135"/>
      <c r="M141" s="135">
        <v>1500</v>
      </c>
      <c r="N141" s="135"/>
      <c r="O141" s="179">
        <v>12000</v>
      </c>
      <c r="P141" s="163"/>
      <c r="Q141" s="179">
        <v>13924</v>
      </c>
      <c r="R141" s="147">
        <v>5200</v>
      </c>
      <c r="S141" s="179">
        <v>28000</v>
      </c>
      <c r="T141" s="178">
        <v>2560</v>
      </c>
      <c r="U141" s="179"/>
      <c r="V141" s="184"/>
      <c r="W141" s="171"/>
    </row>
    <row r="142" spans="1:23">
      <c r="A142" s="142">
        <v>24</v>
      </c>
      <c r="B142" s="103" t="s">
        <v>34</v>
      </c>
      <c r="C142" s="104" t="s">
        <v>525</v>
      </c>
      <c r="D142" s="51">
        <f t="shared" si="18"/>
        <v>57000</v>
      </c>
      <c r="E142" s="51">
        <f t="shared" si="19"/>
        <v>0</v>
      </c>
      <c r="F142" s="179"/>
      <c r="G142" s="135"/>
      <c r="H142" s="135"/>
      <c r="I142" s="135"/>
      <c r="J142" s="135"/>
      <c r="K142" s="51">
        <f t="shared" si="20"/>
        <v>57000</v>
      </c>
      <c r="L142" s="135"/>
      <c r="M142" s="135"/>
      <c r="N142" s="135"/>
      <c r="O142" s="179"/>
      <c r="P142" s="163"/>
      <c r="Q142" s="179"/>
      <c r="R142" s="147">
        <v>57000</v>
      </c>
      <c r="S142" s="179"/>
      <c r="T142" s="178"/>
      <c r="U142" s="179"/>
      <c r="V142" s="184"/>
      <c r="W142" s="171"/>
    </row>
    <row r="143" spans="1:23">
      <c r="A143" s="142">
        <v>25</v>
      </c>
      <c r="B143" s="103" t="s">
        <v>34</v>
      </c>
      <c r="C143" s="104" t="s">
        <v>526</v>
      </c>
      <c r="D143" s="51">
        <f t="shared" si="18"/>
        <v>23375</v>
      </c>
      <c r="E143" s="51">
        <f t="shared" si="19"/>
        <v>0</v>
      </c>
      <c r="F143" s="179"/>
      <c r="G143" s="135"/>
      <c r="H143" s="135"/>
      <c r="I143" s="135"/>
      <c r="J143" s="135"/>
      <c r="K143" s="51">
        <f t="shared" si="20"/>
        <v>23375</v>
      </c>
      <c r="L143" s="135"/>
      <c r="M143" s="135"/>
      <c r="N143" s="135"/>
      <c r="O143" s="179"/>
      <c r="P143" s="163"/>
      <c r="Q143" s="179"/>
      <c r="R143" s="147">
        <v>10770</v>
      </c>
      <c r="S143" s="179"/>
      <c r="T143" s="178">
        <v>7805</v>
      </c>
      <c r="U143" s="179">
        <v>2400</v>
      </c>
      <c r="V143" s="184">
        <v>2400</v>
      </c>
      <c r="W143" s="171"/>
    </row>
    <row r="144" spans="1:23">
      <c r="A144" s="142">
        <v>26</v>
      </c>
      <c r="B144" s="103" t="s">
        <v>34</v>
      </c>
      <c r="C144" s="104" t="s">
        <v>527</v>
      </c>
      <c r="D144" s="51">
        <f t="shared" si="18"/>
        <v>111180</v>
      </c>
      <c r="E144" s="51">
        <f t="shared" si="19"/>
        <v>5000</v>
      </c>
      <c r="F144" s="179">
        <v>5000</v>
      </c>
      <c r="G144" s="135"/>
      <c r="H144" s="135"/>
      <c r="I144" s="135"/>
      <c r="J144" s="135"/>
      <c r="K144" s="51">
        <f t="shared" si="20"/>
        <v>106180</v>
      </c>
      <c r="L144" s="135"/>
      <c r="M144" s="135"/>
      <c r="N144" s="135"/>
      <c r="O144" s="179"/>
      <c r="P144" s="163">
        <v>25480</v>
      </c>
      <c r="Q144" s="179"/>
      <c r="R144" s="147">
        <v>68000</v>
      </c>
      <c r="S144" s="179"/>
      <c r="T144" s="178"/>
      <c r="U144" s="179">
        <v>5500</v>
      </c>
      <c r="V144" s="184">
        <v>7200</v>
      </c>
      <c r="W144" s="171"/>
    </row>
    <row r="145" spans="1:23">
      <c r="A145" s="142">
        <v>27</v>
      </c>
      <c r="B145" s="103" t="s">
        <v>34</v>
      </c>
      <c r="C145" s="104" t="s">
        <v>528</v>
      </c>
      <c r="D145" s="51">
        <f t="shared" si="18"/>
        <v>105100</v>
      </c>
      <c r="E145" s="51">
        <f t="shared" si="19"/>
        <v>50000</v>
      </c>
      <c r="F145" s="179">
        <v>50000</v>
      </c>
      <c r="G145" s="135"/>
      <c r="H145" s="135"/>
      <c r="I145" s="135"/>
      <c r="J145" s="135"/>
      <c r="K145" s="51">
        <f t="shared" si="20"/>
        <v>55100</v>
      </c>
      <c r="L145" s="135"/>
      <c r="M145" s="135"/>
      <c r="N145" s="135"/>
      <c r="O145" s="179"/>
      <c r="P145" s="163">
        <v>40000</v>
      </c>
      <c r="Q145" s="179">
        <v>15100</v>
      </c>
      <c r="R145" s="147"/>
      <c r="S145" s="179"/>
      <c r="T145" s="178"/>
      <c r="U145" s="179"/>
      <c r="V145" s="184"/>
      <c r="W145" s="171"/>
    </row>
    <row r="146" spans="1:23">
      <c r="A146" s="142">
        <v>28</v>
      </c>
      <c r="B146" s="103" t="s">
        <v>34</v>
      </c>
      <c r="C146" s="104" t="s">
        <v>529</v>
      </c>
      <c r="D146" s="51">
        <f t="shared" si="18"/>
        <v>20000</v>
      </c>
      <c r="E146" s="51">
        <f t="shared" si="19"/>
        <v>20000</v>
      </c>
      <c r="F146" s="179">
        <v>20000</v>
      </c>
      <c r="G146" s="135"/>
      <c r="H146" s="135"/>
      <c r="I146" s="135"/>
      <c r="J146" s="135"/>
      <c r="K146" s="51">
        <f t="shared" si="20"/>
        <v>0</v>
      </c>
      <c r="L146" s="135"/>
      <c r="M146" s="135"/>
      <c r="N146" s="135"/>
      <c r="O146" s="179"/>
      <c r="P146" s="163"/>
      <c r="Q146" s="179"/>
      <c r="R146" s="147"/>
      <c r="S146" s="179"/>
      <c r="T146" s="178"/>
      <c r="U146" s="179"/>
      <c r="V146" s="184"/>
      <c r="W146" s="171"/>
    </row>
    <row r="147" spans="1:23">
      <c r="A147" s="142">
        <v>29</v>
      </c>
      <c r="B147" s="103" t="s">
        <v>34</v>
      </c>
      <c r="C147" s="104" t="s">
        <v>530</v>
      </c>
      <c r="D147" s="51">
        <f t="shared" si="18"/>
        <v>30000</v>
      </c>
      <c r="E147" s="51">
        <f t="shared" si="19"/>
        <v>30000</v>
      </c>
      <c r="F147" s="179">
        <v>30000</v>
      </c>
      <c r="G147" s="135"/>
      <c r="H147" s="135"/>
      <c r="I147" s="135"/>
      <c r="J147" s="135"/>
      <c r="K147" s="51">
        <f t="shared" si="20"/>
        <v>0</v>
      </c>
      <c r="L147" s="135"/>
      <c r="M147" s="135"/>
      <c r="N147" s="135"/>
      <c r="O147" s="179"/>
      <c r="P147" s="163"/>
      <c r="Q147" s="179"/>
      <c r="R147" s="147"/>
      <c r="S147" s="179"/>
      <c r="T147" s="178"/>
      <c r="U147" s="179"/>
      <c r="V147" s="184"/>
      <c r="W147" s="171"/>
    </row>
    <row r="148" spans="1:23">
      <c r="A148" s="142">
        <v>30</v>
      </c>
      <c r="B148" s="103" t="s">
        <v>34</v>
      </c>
      <c r="C148" s="104" t="s">
        <v>531</v>
      </c>
      <c r="D148" s="51">
        <f t="shared" si="18"/>
        <v>25000</v>
      </c>
      <c r="E148" s="51">
        <f t="shared" si="19"/>
        <v>25000</v>
      </c>
      <c r="F148" s="179">
        <v>25000</v>
      </c>
      <c r="G148" s="135"/>
      <c r="H148" s="135"/>
      <c r="I148" s="135"/>
      <c r="J148" s="135"/>
      <c r="K148" s="51">
        <f t="shared" si="20"/>
        <v>0</v>
      </c>
      <c r="L148" s="135"/>
      <c r="M148" s="135"/>
      <c r="N148" s="135"/>
      <c r="O148" s="179"/>
      <c r="P148" s="163"/>
      <c r="Q148" s="179"/>
      <c r="R148" s="147"/>
      <c r="S148" s="179"/>
      <c r="T148" s="178"/>
      <c r="U148" s="179"/>
      <c r="V148" s="184"/>
      <c r="W148" s="171"/>
    </row>
    <row r="149" spans="1:23">
      <c r="A149" s="142">
        <v>31</v>
      </c>
      <c r="B149" s="103" t="s">
        <v>34</v>
      </c>
      <c r="C149" s="104" t="s">
        <v>532</v>
      </c>
      <c r="D149" s="51">
        <f t="shared" si="18"/>
        <v>5000</v>
      </c>
      <c r="E149" s="51">
        <f t="shared" si="19"/>
        <v>5000</v>
      </c>
      <c r="F149" s="179">
        <v>5000</v>
      </c>
      <c r="G149" s="135"/>
      <c r="H149" s="135"/>
      <c r="I149" s="135"/>
      <c r="J149" s="135"/>
      <c r="K149" s="51">
        <f t="shared" si="20"/>
        <v>0</v>
      </c>
      <c r="L149" s="135"/>
      <c r="M149" s="135"/>
      <c r="N149" s="135"/>
      <c r="O149" s="179"/>
      <c r="P149" s="163"/>
      <c r="Q149" s="179"/>
      <c r="R149" s="147"/>
      <c r="S149" s="179"/>
      <c r="T149" s="178"/>
      <c r="U149" s="179"/>
      <c r="V149" s="184"/>
      <c r="W149" s="171"/>
    </row>
    <row r="150" spans="1:23" s="35" customFormat="1" ht="21">
      <c r="A150" s="185">
        <v>3</v>
      </c>
      <c r="B150" s="94" t="s">
        <v>34</v>
      </c>
      <c r="C150" s="129" t="s">
        <v>235</v>
      </c>
      <c r="D150" s="130">
        <f t="shared" si="18"/>
        <v>3401947.9670000002</v>
      </c>
      <c r="E150" s="130">
        <f t="shared" si="19"/>
        <v>1117280</v>
      </c>
      <c r="F150" s="96">
        <f>F151+F164+F187+F207</f>
        <v>1117280</v>
      </c>
      <c r="G150" s="96">
        <f t="shared" ref="G150:W150" si="21">G151+G164+G187+G207</f>
        <v>0</v>
      </c>
      <c r="H150" s="96">
        <f t="shared" si="21"/>
        <v>0</v>
      </c>
      <c r="I150" s="96">
        <f t="shared" si="21"/>
        <v>0</v>
      </c>
      <c r="J150" s="96">
        <f t="shared" si="21"/>
        <v>0</v>
      </c>
      <c r="K150" s="130">
        <f t="shared" si="20"/>
        <v>2284667.9670000002</v>
      </c>
      <c r="L150" s="96">
        <f t="shared" si="21"/>
        <v>312210</v>
      </c>
      <c r="M150" s="96">
        <f t="shared" si="21"/>
        <v>158526.967</v>
      </c>
      <c r="N150" s="96">
        <f t="shared" si="21"/>
        <v>155844</v>
      </c>
      <c r="O150" s="96">
        <f t="shared" si="21"/>
        <v>198928</v>
      </c>
      <c r="P150" s="96">
        <f t="shared" si="21"/>
        <v>165238</v>
      </c>
      <c r="Q150" s="96">
        <f t="shared" si="21"/>
        <v>114870</v>
      </c>
      <c r="R150" s="96">
        <f t="shared" si="21"/>
        <v>200828</v>
      </c>
      <c r="S150" s="96">
        <f t="shared" si="21"/>
        <v>242648</v>
      </c>
      <c r="T150" s="96">
        <f t="shared" si="21"/>
        <v>288582</v>
      </c>
      <c r="U150" s="96">
        <f t="shared" si="21"/>
        <v>130560</v>
      </c>
      <c r="V150" s="96">
        <f t="shared" si="21"/>
        <v>141003</v>
      </c>
      <c r="W150" s="96">
        <f t="shared" si="21"/>
        <v>175430</v>
      </c>
    </row>
    <row r="151" spans="1:23" s="3" customFormat="1" ht="10.5">
      <c r="A151" s="131" t="s">
        <v>245</v>
      </c>
      <c r="B151" s="98" t="s">
        <v>34</v>
      </c>
      <c r="C151" s="186" t="s">
        <v>23</v>
      </c>
      <c r="D151" s="100">
        <f t="shared" si="18"/>
        <v>541450</v>
      </c>
      <c r="E151" s="100">
        <f t="shared" si="19"/>
        <v>180000</v>
      </c>
      <c r="F151" s="101">
        <f>SUM(F152:F163)</f>
        <v>180000</v>
      </c>
      <c r="G151" s="101">
        <f t="shared" ref="G151:W151" si="22">SUM(G152:G163)</f>
        <v>0</v>
      </c>
      <c r="H151" s="101">
        <f t="shared" si="22"/>
        <v>0</v>
      </c>
      <c r="I151" s="101">
        <f t="shared" si="22"/>
        <v>0</v>
      </c>
      <c r="J151" s="101">
        <f t="shared" si="22"/>
        <v>0</v>
      </c>
      <c r="K151" s="100">
        <f t="shared" si="20"/>
        <v>361450</v>
      </c>
      <c r="L151" s="101">
        <f t="shared" si="22"/>
        <v>41840</v>
      </c>
      <c r="M151" s="101">
        <f t="shared" si="22"/>
        <v>52060</v>
      </c>
      <c r="N151" s="101">
        <f t="shared" si="22"/>
        <v>36360</v>
      </c>
      <c r="O151" s="101">
        <f t="shared" si="22"/>
        <v>33078</v>
      </c>
      <c r="P151" s="101">
        <f t="shared" si="22"/>
        <v>32216</v>
      </c>
      <c r="Q151" s="101">
        <f t="shared" si="22"/>
        <v>1700</v>
      </c>
      <c r="R151" s="101">
        <f t="shared" si="22"/>
        <v>36760</v>
      </c>
      <c r="S151" s="101">
        <f t="shared" si="22"/>
        <v>22320</v>
      </c>
      <c r="T151" s="101">
        <f t="shared" si="22"/>
        <v>43262</v>
      </c>
      <c r="U151" s="101">
        <f t="shared" si="22"/>
        <v>7500</v>
      </c>
      <c r="V151" s="101">
        <f t="shared" si="22"/>
        <v>36474</v>
      </c>
      <c r="W151" s="101">
        <f t="shared" si="22"/>
        <v>17880</v>
      </c>
    </row>
    <row r="152" spans="1:23" s="1" customFormat="1" ht="22.5">
      <c r="A152" s="122">
        <v>1</v>
      </c>
      <c r="B152" s="103" t="s">
        <v>34</v>
      </c>
      <c r="C152" s="187" t="s">
        <v>429</v>
      </c>
      <c r="D152" s="188">
        <f t="shared" si="18"/>
        <v>24490</v>
      </c>
      <c r="E152" s="188">
        <f t="shared" si="19"/>
        <v>20000</v>
      </c>
      <c r="F152" s="135">
        <v>20000</v>
      </c>
      <c r="G152" s="135"/>
      <c r="H152" s="135"/>
      <c r="I152" s="135"/>
      <c r="J152" s="135"/>
      <c r="K152" s="188">
        <f t="shared" si="20"/>
        <v>4490</v>
      </c>
      <c r="L152" s="135">
        <v>140</v>
      </c>
      <c r="M152" s="135"/>
      <c r="N152" s="110"/>
      <c r="O152" s="135"/>
      <c r="P152" s="135"/>
      <c r="Q152" s="135"/>
      <c r="R152" s="135">
        <v>2000</v>
      </c>
      <c r="S152" s="135"/>
      <c r="T152" s="135">
        <v>1150</v>
      </c>
      <c r="U152" s="135">
        <v>0</v>
      </c>
      <c r="V152" s="135">
        <v>1200</v>
      </c>
      <c r="W152" s="135"/>
    </row>
    <row r="153" spans="1:23" s="1" customFormat="1" ht="22.5">
      <c r="A153" s="122">
        <v>2</v>
      </c>
      <c r="B153" s="103" t="s">
        <v>34</v>
      </c>
      <c r="C153" s="183" t="s">
        <v>430</v>
      </c>
      <c r="D153" s="188">
        <f t="shared" si="18"/>
        <v>44080</v>
      </c>
      <c r="E153" s="188">
        <f t="shared" si="19"/>
        <v>21520</v>
      </c>
      <c r="F153" s="137">
        <v>21520</v>
      </c>
      <c r="G153" s="135"/>
      <c r="H153" s="135"/>
      <c r="I153" s="135"/>
      <c r="J153" s="135"/>
      <c r="K153" s="188">
        <f t="shared" si="20"/>
        <v>22560</v>
      </c>
      <c r="L153" s="136"/>
      <c r="M153" s="135"/>
      <c r="N153" s="189">
        <v>2360</v>
      </c>
      <c r="O153" s="115"/>
      <c r="P153" s="137">
        <v>2500</v>
      </c>
      <c r="Q153" s="137">
        <v>1700</v>
      </c>
      <c r="R153" s="115">
        <v>4000</v>
      </c>
      <c r="S153" s="137"/>
      <c r="T153" s="190">
        <v>10000</v>
      </c>
      <c r="U153" s="137">
        <v>2000</v>
      </c>
      <c r="V153" s="137"/>
      <c r="W153" s="137"/>
    </row>
    <row r="154" spans="1:23" s="1" customFormat="1" ht="22.5">
      <c r="A154" s="122">
        <v>3</v>
      </c>
      <c r="B154" s="103" t="s">
        <v>34</v>
      </c>
      <c r="C154" s="183" t="s">
        <v>431</v>
      </c>
      <c r="D154" s="188">
        <f t="shared" si="18"/>
        <v>26960</v>
      </c>
      <c r="E154" s="188">
        <f t="shared" si="19"/>
        <v>0</v>
      </c>
      <c r="F154" s="137"/>
      <c r="G154" s="135"/>
      <c r="H154" s="135"/>
      <c r="I154" s="135"/>
      <c r="J154" s="135"/>
      <c r="K154" s="188">
        <f t="shared" si="20"/>
        <v>26960</v>
      </c>
      <c r="L154" s="136">
        <v>3300</v>
      </c>
      <c r="M154" s="135">
        <v>2500</v>
      </c>
      <c r="N154" s="189"/>
      <c r="O154" s="115">
        <v>4600</v>
      </c>
      <c r="P154" s="137"/>
      <c r="Q154" s="137"/>
      <c r="R154" s="115">
        <v>5560</v>
      </c>
      <c r="S154" s="137">
        <v>3280</v>
      </c>
      <c r="T154" s="190">
        <v>2760</v>
      </c>
      <c r="U154" s="137">
        <v>2800</v>
      </c>
      <c r="V154" s="137">
        <v>2160</v>
      </c>
      <c r="W154" s="137"/>
    </row>
    <row r="155" spans="1:23" s="1" customFormat="1" ht="22.5">
      <c r="A155" s="122">
        <v>4</v>
      </c>
      <c r="B155" s="103" t="s">
        <v>34</v>
      </c>
      <c r="C155" s="183" t="s">
        <v>432</v>
      </c>
      <c r="D155" s="188">
        <f t="shared" si="18"/>
        <v>67480</v>
      </c>
      <c r="E155" s="188">
        <f t="shared" si="19"/>
        <v>41280</v>
      </c>
      <c r="F155" s="137">
        <v>41280</v>
      </c>
      <c r="G155" s="135"/>
      <c r="H155" s="135"/>
      <c r="I155" s="135"/>
      <c r="J155" s="135"/>
      <c r="K155" s="188">
        <f t="shared" si="20"/>
        <v>26200</v>
      </c>
      <c r="L155" s="136"/>
      <c r="M155" s="135">
        <v>8500</v>
      </c>
      <c r="N155" s="189"/>
      <c r="O155" s="115"/>
      <c r="P155" s="137">
        <v>15000</v>
      </c>
      <c r="Q155" s="137"/>
      <c r="R155" s="115"/>
      <c r="S155" s="137"/>
      <c r="T155" s="190"/>
      <c r="U155" s="137">
        <v>2700</v>
      </c>
      <c r="V155" s="137"/>
      <c r="W155" s="137"/>
    </row>
    <row r="156" spans="1:23" s="1" customFormat="1">
      <c r="A156" s="122">
        <v>5</v>
      </c>
      <c r="B156" s="103" t="s">
        <v>34</v>
      </c>
      <c r="C156" s="191" t="s">
        <v>433</v>
      </c>
      <c r="D156" s="188">
        <f t="shared" si="18"/>
        <v>160368</v>
      </c>
      <c r="E156" s="188">
        <f t="shared" si="19"/>
        <v>97200</v>
      </c>
      <c r="F156" s="115">
        <v>97200</v>
      </c>
      <c r="G156" s="135"/>
      <c r="H156" s="135"/>
      <c r="I156" s="135"/>
      <c r="J156" s="135"/>
      <c r="K156" s="188">
        <f t="shared" si="20"/>
        <v>63168</v>
      </c>
      <c r="L156" s="136"/>
      <c r="M156" s="135">
        <v>960</v>
      </c>
      <c r="N156" s="189"/>
      <c r="O156" s="115">
        <v>14000</v>
      </c>
      <c r="P156" s="137">
        <v>6736</v>
      </c>
      <c r="Q156" s="137"/>
      <c r="R156" s="115">
        <v>1200</v>
      </c>
      <c r="S156" s="137">
        <v>7440</v>
      </c>
      <c r="T156" s="190">
        <v>17112</v>
      </c>
      <c r="U156" s="137"/>
      <c r="V156" s="137">
        <v>1440</v>
      </c>
      <c r="W156" s="137">
        <v>14280</v>
      </c>
    </row>
    <row r="157" spans="1:23" s="1" customFormat="1" ht="22.5">
      <c r="A157" s="122">
        <v>6</v>
      </c>
      <c r="B157" s="103" t="s">
        <v>34</v>
      </c>
      <c r="C157" s="191" t="s">
        <v>434</v>
      </c>
      <c r="D157" s="188">
        <f t="shared" si="18"/>
        <v>3600</v>
      </c>
      <c r="E157" s="188">
        <f t="shared" si="19"/>
        <v>0</v>
      </c>
      <c r="F157" s="115"/>
      <c r="G157" s="135"/>
      <c r="H157" s="135"/>
      <c r="I157" s="135"/>
      <c r="J157" s="135"/>
      <c r="K157" s="188">
        <f t="shared" si="20"/>
        <v>3600</v>
      </c>
      <c r="L157" s="136"/>
      <c r="M157" s="135"/>
      <c r="N157" s="189"/>
      <c r="O157" s="115"/>
      <c r="P157" s="137"/>
      <c r="Q157" s="137"/>
      <c r="R157" s="115"/>
      <c r="S157" s="137"/>
      <c r="T157" s="190">
        <v>3600</v>
      </c>
      <c r="U157" s="137"/>
      <c r="V157" s="137"/>
      <c r="W157" s="137"/>
    </row>
    <row r="158" spans="1:23" s="1" customFormat="1">
      <c r="A158" s="122">
        <v>7</v>
      </c>
      <c r="B158" s="103" t="s">
        <v>34</v>
      </c>
      <c r="C158" s="191" t="s">
        <v>435</v>
      </c>
      <c r="D158" s="188">
        <f t="shared" si="18"/>
        <v>5400</v>
      </c>
      <c r="E158" s="188">
        <f t="shared" si="19"/>
        <v>0</v>
      </c>
      <c r="F158" s="115"/>
      <c r="G158" s="135"/>
      <c r="H158" s="135"/>
      <c r="I158" s="135"/>
      <c r="J158" s="135"/>
      <c r="K158" s="188">
        <f t="shared" si="20"/>
        <v>5400</v>
      </c>
      <c r="L158" s="136"/>
      <c r="M158" s="135"/>
      <c r="N158" s="189"/>
      <c r="O158" s="115"/>
      <c r="P158" s="137"/>
      <c r="Q158" s="137"/>
      <c r="R158" s="115"/>
      <c r="S158" s="137"/>
      <c r="T158" s="190">
        <v>5400</v>
      </c>
      <c r="U158" s="137"/>
      <c r="V158" s="137"/>
      <c r="W158" s="137"/>
    </row>
    <row r="159" spans="1:23" s="1" customFormat="1">
      <c r="A159" s="122">
        <v>8</v>
      </c>
      <c r="B159" s="103" t="s">
        <v>34</v>
      </c>
      <c r="C159" s="191" t="s">
        <v>436</v>
      </c>
      <c r="D159" s="188">
        <f t="shared" si="18"/>
        <v>720</v>
      </c>
      <c r="E159" s="188">
        <f t="shared" si="19"/>
        <v>0</v>
      </c>
      <c r="F159" s="115"/>
      <c r="G159" s="135"/>
      <c r="H159" s="135"/>
      <c r="I159" s="135"/>
      <c r="J159" s="135"/>
      <c r="K159" s="188">
        <f t="shared" si="20"/>
        <v>720</v>
      </c>
      <c r="L159" s="136"/>
      <c r="M159" s="135"/>
      <c r="N159" s="189"/>
      <c r="O159" s="115"/>
      <c r="P159" s="137"/>
      <c r="Q159" s="137"/>
      <c r="R159" s="115"/>
      <c r="S159" s="137"/>
      <c r="T159" s="190">
        <v>720</v>
      </c>
      <c r="U159" s="137"/>
      <c r="V159" s="137"/>
      <c r="W159" s="137"/>
    </row>
    <row r="160" spans="1:23" s="1" customFormat="1" ht="22.5">
      <c r="A160" s="122">
        <v>9</v>
      </c>
      <c r="B160" s="103" t="s">
        <v>34</v>
      </c>
      <c r="C160" s="191" t="s">
        <v>437</v>
      </c>
      <c r="D160" s="188">
        <f t="shared" si="18"/>
        <v>19600</v>
      </c>
      <c r="E160" s="188">
        <f t="shared" si="19"/>
        <v>0</v>
      </c>
      <c r="F160" s="115"/>
      <c r="G160" s="135"/>
      <c r="H160" s="135"/>
      <c r="I160" s="135"/>
      <c r="J160" s="135"/>
      <c r="K160" s="188">
        <f t="shared" si="20"/>
        <v>19600</v>
      </c>
      <c r="L160" s="136"/>
      <c r="M160" s="135"/>
      <c r="N160" s="189"/>
      <c r="O160" s="115">
        <v>8000</v>
      </c>
      <c r="P160" s="137"/>
      <c r="Q160" s="137"/>
      <c r="R160" s="115"/>
      <c r="S160" s="137">
        <v>11600</v>
      </c>
      <c r="T160" s="190"/>
      <c r="U160" s="137"/>
      <c r="V160" s="137"/>
      <c r="W160" s="137"/>
    </row>
    <row r="161" spans="1:23" s="1" customFormat="1">
      <c r="A161" s="122">
        <v>10</v>
      </c>
      <c r="B161" s="103" t="s">
        <v>34</v>
      </c>
      <c r="C161" s="191" t="s">
        <v>438</v>
      </c>
      <c r="D161" s="188">
        <f t="shared" si="18"/>
        <v>66252</v>
      </c>
      <c r="E161" s="188">
        <f t="shared" si="19"/>
        <v>0</v>
      </c>
      <c r="F161" s="115"/>
      <c r="G161" s="135"/>
      <c r="H161" s="135"/>
      <c r="I161" s="135"/>
      <c r="J161" s="135"/>
      <c r="K161" s="188">
        <f t="shared" si="20"/>
        <v>66252</v>
      </c>
      <c r="L161" s="136"/>
      <c r="M161" s="135"/>
      <c r="N161" s="189"/>
      <c r="O161" s="115">
        <v>6478</v>
      </c>
      <c r="P161" s="137">
        <v>7980</v>
      </c>
      <c r="Q161" s="137"/>
      <c r="R161" s="115">
        <v>14000</v>
      </c>
      <c r="S161" s="137"/>
      <c r="T161" s="190">
        <v>2520</v>
      </c>
      <c r="U161" s="137"/>
      <c r="V161" s="137">
        <v>31674</v>
      </c>
      <c r="W161" s="137">
        <v>3600</v>
      </c>
    </row>
    <row r="162" spans="1:23" s="1" customFormat="1" ht="45">
      <c r="A162" s="122">
        <v>11</v>
      </c>
      <c r="B162" s="103" t="s">
        <v>34</v>
      </c>
      <c r="C162" s="191" t="s">
        <v>439</v>
      </c>
      <c r="D162" s="188">
        <f t="shared" si="18"/>
        <v>82400</v>
      </c>
      <c r="E162" s="188">
        <f t="shared" si="19"/>
        <v>0</v>
      </c>
      <c r="F162" s="115"/>
      <c r="G162" s="135"/>
      <c r="H162" s="135"/>
      <c r="I162" s="135"/>
      <c r="J162" s="135"/>
      <c r="K162" s="188">
        <f t="shared" si="20"/>
        <v>82400</v>
      </c>
      <c r="L162" s="136">
        <v>38400</v>
      </c>
      <c r="M162" s="135"/>
      <c r="N162" s="189">
        <v>34000</v>
      </c>
      <c r="O162" s="115"/>
      <c r="P162" s="137"/>
      <c r="Q162" s="137"/>
      <c r="R162" s="115">
        <v>10000</v>
      </c>
      <c r="S162" s="137"/>
      <c r="T162" s="190"/>
      <c r="U162" s="137"/>
      <c r="V162" s="137"/>
      <c r="W162" s="137"/>
    </row>
    <row r="163" spans="1:23" s="1" customFormat="1" ht="22.5">
      <c r="A163" s="122">
        <v>12</v>
      </c>
      <c r="B163" s="103" t="s">
        <v>34</v>
      </c>
      <c r="C163" s="104" t="s">
        <v>440</v>
      </c>
      <c r="D163" s="188">
        <f t="shared" si="18"/>
        <v>40100</v>
      </c>
      <c r="E163" s="188">
        <f t="shared" si="19"/>
        <v>0</v>
      </c>
      <c r="F163" s="115"/>
      <c r="G163" s="135"/>
      <c r="H163" s="135"/>
      <c r="I163" s="135"/>
      <c r="J163" s="135"/>
      <c r="K163" s="188">
        <f t="shared" si="20"/>
        <v>40100</v>
      </c>
      <c r="L163" s="136"/>
      <c r="M163" s="135">
        <v>40100</v>
      </c>
      <c r="N163" s="189"/>
      <c r="O163" s="115"/>
      <c r="P163" s="137"/>
      <c r="Q163" s="137"/>
      <c r="R163" s="115"/>
      <c r="S163" s="137"/>
      <c r="T163" s="190"/>
      <c r="U163" s="137"/>
      <c r="V163" s="137"/>
      <c r="W163" s="137"/>
    </row>
    <row r="164" spans="1:23" s="4" customFormat="1">
      <c r="A164" s="131" t="s">
        <v>246</v>
      </c>
      <c r="B164" s="98" t="s">
        <v>34</v>
      </c>
      <c r="C164" s="132" t="s">
        <v>304</v>
      </c>
      <c r="D164" s="100">
        <f t="shared" si="18"/>
        <v>769595</v>
      </c>
      <c r="E164" s="100">
        <f t="shared" si="19"/>
        <v>227280</v>
      </c>
      <c r="F164" s="101">
        <f>SUM(F165:F186)</f>
        <v>227280</v>
      </c>
      <c r="G164" s="101">
        <f t="shared" ref="G164:W164" si="23">SUM(G165:G186)</f>
        <v>0</v>
      </c>
      <c r="H164" s="101">
        <f t="shared" si="23"/>
        <v>0</v>
      </c>
      <c r="I164" s="101">
        <f t="shared" si="23"/>
        <v>0</v>
      </c>
      <c r="J164" s="101">
        <f t="shared" si="23"/>
        <v>0</v>
      </c>
      <c r="K164" s="100">
        <f t="shared" si="20"/>
        <v>542315</v>
      </c>
      <c r="L164" s="101">
        <f t="shared" si="23"/>
        <v>50031</v>
      </c>
      <c r="M164" s="101">
        <f t="shared" si="23"/>
        <v>20220</v>
      </c>
      <c r="N164" s="101">
        <f t="shared" si="23"/>
        <v>59980</v>
      </c>
      <c r="O164" s="101">
        <f t="shared" si="23"/>
        <v>23438</v>
      </c>
      <c r="P164" s="101">
        <f t="shared" si="23"/>
        <v>77636</v>
      </c>
      <c r="Q164" s="101">
        <f t="shared" si="23"/>
        <v>57500</v>
      </c>
      <c r="R164" s="101">
        <f t="shared" si="23"/>
        <v>20335</v>
      </c>
      <c r="S164" s="101">
        <f t="shared" si="23"/>
        <v>27000</v>
      </c>
      <c r="T164" s="101">
        <f t="shared" si="23"/>
        <v>61992</v>
      </c>
      <c r="U164" s="101">
        <f t="shared" si="23"/>
        <v>51300</v>
      </c>
      <c r="V164" s="101">
        <f t="shared" si="23"/>
        <v>52013</v>
      </c>
      <c r="W164" s="101">
        <f t="shared" si="23"/>
        <v>40870</v>
      </c>
    </row>
    <row r="165" spans="1:23" s="1" customFormat="1" ht="33.75">
      <c r="A165" s="122">
        <v>1</v>
      </c>
      <c r="B165" s="103" t="s">
        <v>34</v>
      </c>
      <c r="C165" s="187" t="s">
        <v>441</v>
      </c>
      <c r="D165" s="188">
        <f t="shared" si="18"/>
        <v>10944</v>
      </c>
      <c r="E165" s="188">
        <f t="shared" si="19"/>
        <v>5000</v>
      </c>
      <c r="F165" s="135">
        <v>5000</v>
      </c>
      <c r="G165" s="135"/>
      <c r="H165" s="135"/>
      <c r="I165" s="135"/>
      <c r="J165" s="135"/>
      <c r="K165" s="188">
        <f t="shared" si="20"/>
        <v>5944</v>
      </c>
      <c r="L165" s="135">
        <v>156</v>
      </c>
      <c r="M165" s="135"/>
      <c r="N165" s="110"/>
      <c r="O165" s="135"/>
      <c r="P165" s="135"/>
      <c r="Q165" s="135"/>
      <c r="R165" s="135"/>
      <c r="S165" s="135">
        <v>1788</v>
      </c>
      <c r="T165" s="135"/>
      <c r="U165" s="135"/>
      <c r="V165" s="135">
        <v>4000</v>
      </c>
      <c r="W165" s="135"/>
    </row>
    <row r="166" spans="1:23" s="1" customFormat="1" ht="33.75">
      <c r="A166" s="122">
        <v>1</v>
      </c>
      <c r="B166" s="103" t="s">
        <v>34</v>
      </c>
      <c r="C166" s="192" t="s">
        <v>74</v>
      </c>
      <c r="D166" s="188">
        <f t="shared" si="18"/>
        <v>70770</v>
      </c>
      <c r="E166" s="188">
        <f t="shared" si="19"/>
        <v>16740</v>
      </c>
      <c r="F166" s="189">
        <v>16740</v>
      </c>
      <c r="G166" s="135"/>
      <c r="H166" s="135"/>
      <c r="I166" s="135"/>
      <c r="J166" s="135"/>
      <c r="K166" s="188">
        <f t="shared" si="20"/>
        <v>54030</v>
      </c>
      <c r="L166" s="193">
        <v>6600</v>
      </c>
      <c r="M166" s="122"/>
      <c r="N166" s="194">
        <v>1180</v>
      </c>
      <c r="O166" s="195">
        <v>4600</v>
      </c>
      <c r="P166" s="122">
        <v>2850</v>
      </c>
      <c r="Q166" s="195">
        <v>13740</v>
      </c>
      <c r="R166" s="196">
        <v>5300</v>
      </c>
      <c r="S166" s="122">
        <v>3200</v>
      </c>
      <c r="T166" s="197">
        <v>5760</v>
      </c>
      <c r="U166" s="198">
        <v>2860</v>
      </c>
      <c r="V166" s="199">
        <v>4800</v>
      </c>
      <c r="W166" s="122">
        <v>3140</v>
      </c>
    </row>
    <row r="167" spans="1:23" s="1" customFormat="1" ht="22.5">
      <c r="A167" s="122">
        <v>2</v>
      </c>
      <c r="B167" s="103" t="s">
        <v>34</v>
      </c>
      <c r="C167" s="192" t="s">
        <v>75</v>
      </c>
      <c r="D167" s="188">
        <f t="shared" si="18"/>
        <v>79800</v>
      </c>
      <c r="E167" s="188">
        <f t="shared" si="19"/>
        <v>0</v>
      </c>
      <c r="F167" s="200"/>
      <c r="G167" s="135"/>
      <c r="H167" s="135"/>
      <c r="I167" s="135"/>
      <c r="J167" s="135"/>
      <c r="K167" s="188">
        <f t="shared" si="20"/>
        <v>79800</v>
      </c>
      <c r="L167" s="136">
        <v>21600</v>
      </c>
      <c r="M167" s="135">
        <v>7200</v>
      </c>
      <c r="N167" s="189"/>
      <c r="O167" s="167"/>
      <c r="P167" s="171"/>
      <c r="Q167" s="167"/>
      <c r="R167" s="115"/>
      <c r="S167" s="171">
        <v>4800</v>
      </c>
      <c r="T167" s="201">
        <v>8400</v>
      </c>
      <c r="U167" s="167">
        <v>19800</v>
      </c>
      <c r="V167" s="137">
        <v>10800</v>
      </c>
      <c r="W167" s="171">
        <v>7200</v>
      </c>
    </row>
    <row r="168" spans="1:23" s="1" customFormat="1">
      <c r="A168" s="122">
        <v>3</v>
      </c>
      <c r="B168" s="103" t="s">
        <v>34</v>
      </c>
      <c r="C168" s="202" t="s">
        <v>76</v>
      </c>
      <c r="D168" s="188">
        <f t="shared" si="18"/>
        <v>17900</v>
      </c>
      <c r="E168" s="188">
        <f t="shared" si="19"/>
        <v>0</v>
      </c>
      <c r="F168" s="203"/>
      <c r="G168" s="135"/>
      <c r="H168" s="135"/>
      <c r="I168" s="135"/>
      <c r="J168" s="135"/>
      <c r="K168" s="188">
        <f t="shared" si="20"/>
        <v>17900</v>
      </c>
      <c r="L168" s="136"/>
      <c r="M168" s="135"/>
      <c r="N168" s="189"/>
      <c r="O168" s="200"/>
      <c r="P168" s="171"/>
      <c r="Q168" s="167">
        <v>6000</v>
      </c>
      <c r="R168" s="115">
        <v>700</v>
      </c>
      <c r="S168" s="171">
        <v>1860</v>
      </c>
      <c r="T168" s="201">
        <v>3000</v>
      </c>
      <c r="U168" s="137">
        <v>1900</v>
      </c>
      <c r="V168" s="135"/>
      <c r="W168" s="171">
        <v>4440</v>
      </c>
    </row>
    <row r="169" spans="1:23" s="1" customFormat="1">
      <c r="A169" s="122">
        <v>4</v>
      </c>
      <c r="B169" s="103" t="s">
        <v>34</v>
      </c>
      <c r="C169" s="192" t="s">
        <v>77</v>
      </c>
      <c r="D169" s="188">
        <f t="shared" si="18"/>
        <v>16335</v>
      </c>
      <c r="E169" s="188">
        <f t="shared" si="19"/>
        <v>10000</v>
      </c>
      <c r="F169" s="189">
        <v>10000</v>
      </c>
      <c r="G169" s="135"/>
      <c r="H169" s="135"/>
      <c r="I169" s="135"/>
      <c r="J169" s="135"/>
      <c r="K169" s="188">
        <f t="shared" si="20"/>
        <v>6335</v>
      </c>
      <c r="L169" s="136"/>
      <c r="M169" s="135"/>
      <c r="N169" s="203">
        <v>1400</v>
      </c>
      <c r="O169" s="200"/>
      <c r="P169" s="171"/>
      <c r="Q169" s="137"/>
      <c r="R169" s="115">
        <v>2235</v>
      </c>
      <c r="S169" s="137"/>
      <c r="T169" s="201">
        <v>500</v>
      </c>
      <c r="U169" s="137"/>
      <c r="V169" s="135">
        <v>1200</v>
      </c>
      <c r="W169" s="171">
        <v>1000</v>
      </c>
    </row>
    <row r="170" spans="1:23" s="1" customFormat="1">
      <c r="A170" s="122">
        <v>5</v>
      </c>
      <c r="B170" s="103" t="s">
        <v>34</v>
      </c>
      <c r="C170" s="192" t="s">
        <v>78</v>
      </c>
      <c r="D170" s="188">
        <f t="shared" si="18"/>
        <v>28800</v>
      </c>
      <c r="E170" s="188">
        <f t="shared" si="19"/>
        <v>0</v>
      </c>
      <c r="F170" s="115"/>
      <c r="G170" s="135"/>
      <c r="H170" s="135"/>
      <c r="I170" s="135"/>
      <c r="J170" s="135"/>
      <c r="K170" s="188">
        <f t="shared" si="20"/>
        <v>28800</v>
      </c>
      <c r="L170" s="136">
        <v>300</v>
      </c>
      <c r="M170" s="135"/>
      <c r="N170" s="189">
        <v>15000</v>
      </c>
      <c r="O170" s="115"/>
      <c r="P170" s="171">
        <v>8000</v>
      </c>
      <c r="Q170" s="137">
        <v>4000</v>
      </c>
      <c r="R170" s="115"/>
      <c r="S170" s="137"/>
      <c r="T170" s="201">
        <v>100</v>
      </c>
      <c r="U170" s="137"/>
      <c r="V170" s="135"/>
      <c r="W170" s="171">
        <v>1400</v>
      </c>
    </row>
    <row r="171" spans="1:23" s="1" customFormat="1">
      <c r="A171" s="122">
        <v>6</v>
      </c>
      <c r="B171" s="103" t="s">
        <v>34</v>
      </c>
      <c r="C171" s="192" t="s">
        <v>79</v>
      </c>
      <c r="D171" s="188">
        <f t="shared" si="18"/>
        <v>14875</v>
      </c>
      <c r="E171" s="188">
        <f t="shared" si="19"/>
        <v>0</v>
      </c>
      <c r="F171" s="203"/>
      <c r="G171" s="135"/>
      <c r="H171" s="135"/>
      <c r="I171" s="135"/>
      <c r="J171" s="135"/>
      <c r="K171" s="188">
        <f t="shared" si="20"/>
        <v>14875</v>
      </c>
      <c r="L171" s="136">
        <v>975</v>
      </c>
      <c r="M171" s="135"/>
      <c r="N171" s="189"/>
      <c r="O171" s="200"/>
      <c r="P171" s="171">
        <v>8000</v>
      </c>
      <c r="Q171" s="137">
        <v>4000</v>
      </c>
      <c r="R171" s="115"/>
      <c r="S171" s="137"/>
      <c r="T171" s="201">
        <v>500</v>
      </c>
      <c r="U171" s="137"/>
      <c r="V171" s="135"/>
      <c r="W171" s="72">
        <v>1400</v>
      </c>
    </row>
    <row r="172" spans="1:23" s="1" customFormat="1">
      <c r="A172" s="122">
        <v>7</v>
      </c>
      <c r="B172" s="103" t="s">
        <v>34</v>
      </c>
      <c r="C172" s="192" t="s">
        <v>80</v>
      </c>
      <c r="D172" s="188">
        <f t="shared" si="18"/>
        <v>19200</v>
      </c>
      <c r="E172" s="188">
        <f t="shared" si="19"/>
        <v>10000</v>
      </c>
      <c r="F172" s="189">
        <v>10000</v>
      </c>
      <c r="G172" s="135"/>
      <c r="H172" s="135"/>
      <c r="I172" s="135"/>
      <c r="J172" s="135"/>
      <c r="K172" s="188">
        <f t="shared" si="20"/>
        <v>9200</v>
      </c>
      <c r="L172" s="136"/>
      <c r="M172" s="135">
        <v>1200</v>
      </c>
      <c r="N172" s="189"/>
      <c r="O172" s="115"/>
      <c r="P172" s="171"/>
      <c r="Q172" s="137"/>
      <c r="R172" s="115"/>
      <c r="S172" s="137"/>
      <c r="T172" s="201">
        <v>2000</v>
      </c>
      <c r="U172" s="137"/>
      <c r="V172" s="135"/>
      <c r="W172" s="171">
        <v>6000</v>
      </c>
    </row>
    <row r="173" spans="1:23" s="134" customFormat="1" ht="10.5">
      <c r="A173" s="204">
        <v>8</v>
      </c>
      <c r="B173" s="205" t="s">
        <v>34</v>
      </c>
      <c r="C173" s="206" t="s">
        <v>442</v>
      </c>
      <c r="D173" s="207">
        <f t="shared" si="18"/>
        <v>69740</v>
      </c>
      <c r="E173" s="207">
        <f t="shared" si="19"/>
        <v>0</v>
      </c>
      <c r="F173" s="208"/>
      <c r="G173" s="209"/>
      <c r="H173" s="209"/>
      <c r="I173" s="209"/>
      <c r="J173" s="209"/>
      <c r="K173" s="207">
        <f t="shared" si="20"/>
        <v>69740</v>
      </c>
      <c r="L173" s="210">
        <f>SUM(L174:L178)</f>
        <v>9800</v>
      </c>
      <c r="M173" s="209"/>
      <c r="N173" s="208">
        <f>SUM(N174:N178)</f>
        <v>20400</v>
      </c>
      <c r="O173" s="211"/>
      <c r="P173" s="212">
        <f>SUM(P174:P178)</f>
        <v>21120</v>
      </c>
      <c r="Q173" s="213">
        <f>SUM(Q174:Q178)</f>
        <v>10560</v>
      </c>
      <c r="R173" s="211"/>
      <c r="S173" s="213"/>
      <c r="T173" s="214">
        <f>SUM(T174:T178)</f>
        <v>7860</v>
      </c>
      <c r="U173" s="213"/>
      <c r="V173" s="209">
        <f>SUM(V174:V178)</f>
        <v>0</v>
      </c>
      <c r="W173" s="212"/>
    </row>
    <row r="174" spans="1:23" s="1" customFormat="1">
      <c r="A174" s="122" t="s">
        <v>443</v>
      </c>
      <c r="B174" s="103" t="s">
        <v>34</v>
      </c>
      <c r="C174" s="183" t="s">
        <v>81</v>
      </c>
      <c r="D174" s="188">
        <f t="shared" si="18"/>
        <v>84480</v>
      </c>
      <c r="E174" s="188">
        <f t="shared" si="19"/>
        <v>41280</v>
      </c>
      <c r="F174" s="115">
        <v>41280</v>
      </c>
      <c r="G174" s="135"/>
      <c r="H174" s="135"/>
      <c r="I174" s="135"/>
      <c r="J174" s="135"/>
      <c r="K174" s="188">
        <f t="shared" si="20"/>
        <v>43200</v>
      </c>
      <c r="L174" s="136">
        <v>5400</v>
      </c>
      <c r="M174" s="135"/>
      <c r="N174" s="189">
        <v>10800</v>
      </c>
      <c r="O174" s="115"/>
      <c r="P174" s="171">
        <v>14400</v>
      </c>
      <c r="Q174" s="137">
        <v>7200</v>
      </c>
      <c r="R174" s="115"/>
      <c r="S174" s="137"/>
      <c r="T174" s="201">
        <v>2700</v>
      </c>
      <c r="U174" s="137"/>
      <c r="V174" s="135"/>
      <c r="W174" s="171">
        <v>2700</v>
      </c>
    </row>
    <row r="175" spans="1:23" s="1" customFormat="1">
      <c r="A175" s="122" t="s">
        <v>444</v>
      </c>
      <c r="B175" s="103" t="s">
        <v>34</v>
      </c>
      <c r="C175" s="183" t="s">
        <v>82</v>
      </c>
      <c r="D175" s="188">
        <f t="shared" si="18"/>
        <v>14840</v>
      </c>
      <c r="E175" s="188">
        <f t="shared" si="19"/>
        <v>0</v>
      </c>
      <c r="F175" s="115"/>
      <c r="G175" s="135"/>
      <c r="H175" s="135"/>
      <c r="I175" s="135"/>
      <c r="J175" s="135"/>
      <c r="K175" s="188">
        <f t="shared" si="20"/>
        <v>14840</v>
      </c>
      <c r="L175" s="136">
        <v>800</v>
      </c>
      <c r="M175" s="135"/>
      <c r="N175" s="189">
        <v>9600</v>
      </c>
      <c r="O175" s="115"/>
      <c r="P175" s="171">
        <v>1920</v>
      </c>
      <c r="Q175" s="137">
        <v>960</v>
      </c>
      <c r="R175" s="115"/>
      <c r="S175" s="137"/>
      <c r="T175" s="201">
        <v>360</v>
      </c>
      <c r="U175" s="137"/>
      <c r="V175" s="135"/>
      <c r="W175" s="171">
        <v>1200</v>
      </c>
    </row>
    <row r="176" spans="1:23" s="1" customFormat="1">
      <c r="A176" s="122" t="s">
        <v>445</v>
      </c>
      <c r="B176" s="103" t="s">
        <v>34</v>
      </c>
      <c r="C176" s="192" t="s">
        <v>83</v>
      </c>
      <c r="D176" s="188">
        <f t="shared" si="18"/>
        <v>5400</v>
      </c>
      <c r="E176" s="188">
        <f t="shared" si="19"/>
        <v>0</v>
      </c>
      <c r="F176" s="115"/>
      <c r="G176" s="135"/>
      <c r="H176" s="135"/>
      <c r="I176" s="135"/>
      <c r="J176" s="135"/>
      <c r="K176" s="188">
        <f t="shared" si="20"/>
        <v>5400</v>
      </c>
      <c r="L176" s="136"/>
      <c r="M176" s="135"/>
      <c r="N176" s="189"/>
      <c r="O176" s="115"/>
      <c r="P176" s="171"/>
      <c r="Q176" s="137"/>
      <c r="R176" s="115"/>
      <c r="S176" s="137"/>
      <c r="T176" s="201">
        <v>2400</v>
      </c>
      <c r="U176" s="137"/>
      <c r="V176" s="135"/>
      <c r="W176" s="171">
        <v>3000</v>
      </c>
    </row>
    <row r="177" spans="1:23" s="1" customFormat="1" ht="22.5">
      <c r="A177" s="122" t="s">
        <v>446</v>
      </c>
      <c r="B177" s="103" t="s">
        <v>34</v>
      </c>
      <c r="C177" s="192" t="s">
        <v>84</v>
      </c>
      <c r="D177" s="188">
        <f t="shared" si="18"/>
        <v>600</v>
      </c>
      <c r="E177" s="188">
        <f t="shared" si="19"/>
        <v>0</v>
      </c>
      <c r="F177" s="115"/>
      <c r="G177" s="135"/>
      <c r="H177" s="135"/>
      <c r="I177" s="135"/>
      <c r="J177" s="135"/>
      <c r="K177" s="188">
        <f t="shared" si="20"/>
        <v>600</v>
      </c>
      <c r="L177" s="136"/>
      <c r="M177" s="135"/>
      <c r="N177" s="189"/>
      <c r="O177" s="115"/>
      <c r="P177" s="171"/>
      <c r="Q177" s="137">
        <v>0</v>
      </c>
      <c r="R177" s="115"/>
      <c r="S177" s="137"/>
      <c r="T177" s="201">
        <v>600</v>
      </c>
      <c r="U177" s="137"/>
      <c r="V177" s="135"/>
      <c r="W177" s="171"/>
    </row>
    <row r="178" spans="1:23" s="1" customFormat="1">
      <c r="A178" s="122" t="s">
        <v>447</v>
      </c>
      <c r="B178" s="103" t="s">
        <v>34</v>
      </c>
      <c r="C178" s="192" t="s">
        <v>85</v>
      </c>
      <c r="D178" s="188">
        <f t="shared" si="18"/>
        <v>13650</v>
      </c>
      <c r="E178" s="188">
        <f t="shared" si="19"/>
        <v>0</v>
      </c>
      <c r="F178" s="115"/>
      <c r="G178" s="135"/>
      <c r="H178" s="135"/>
      <c r="I178" s="135"/>
      <c r="J178" s="135"/>
      <c r="K178" s="188">
        <f t="shared" si="20"/>
        <v>13650</v>
      </c>
      <c r="L178" s="136">
        <v>3600</v>
      </c>
      <c r="M178" s="135"/>
      <c r="N178" s="189"/>
      <c r="O178" s="115"/>
      <c r="P178" s="171">
        <v>4800</v>
      </c>
      <c r="Q178" s="137">
        <v>2400</v>
      </c>
      <c r="R178" s="115"/>
      <c r="S178" s="137"/>
      <c r="T178" s="201">
        <v>1800</v>
      </c>
      <c r="U178" s="137"/>
      <c r="V178" s="135"/>
      <c r="W178" s="171">
        <v>1050</v>
      </c>
    </row>
    <row r="179" spans="1:23" s="1" customFormat="1">
      <c r="A179" s="122">
        <v>13</v>
      </c>
      <c r="B179" s="103" t="s">
        <v>34</v>
      </c>
      <c r="C179" s="191" t="s">
        <v>448</v>
      </c>
      <c r="D179" s="188">
        <f t="shared" si="18"/>
        <v>144458</v>
      </c>
      <c r="E179" s="188">
        <f t="shared" si="19"/>
        <v>94260</v>
      </c>
      <c r="F179" s="171">
        <v>94260</v>
      </c>
      <c r="G179" s="135"/>
      <c r="H179" s="135"/>
      <c r="I179" s="135"/>
      <c r="J179" s="135"/>
      <c r="K179" s="188">
        <f t="shared" si="20"/>
        <v>50198</v>
      </c>
      <c r="L179" s="169"/>
      <c r="M179" s="135">
        <v>960</v>
      </c>
      <c r="N179" s="189">
        <v>1600</v>
      </c>
      <c r="O179" s="171">
        <v>5150</v>
      </c>
      <c r="P179" s="171">
        <v>6736</v>
      </c>
      <c r="Q179" s="171">
        <v>8640</v>
      </c>
      <c r="R179" s="115">
        <v>4600</v>
      </c>
      <c r="S179" s="171"/>
      <c r="T179" s="201">
        <v>17112</v>
      </c>
      <c r="U179" s="171">
        <v>2520</v>
      </c>
      <c r="V179" s="135">
        <v>1440</v>
      </c>
      <c r="W179" s="171">
        <v>1440</v>
      </c>
    </row>
    <row r="180" spans="1:23" s="1" customFormat="1">
      <c r="A180" s="122">
        <v>14</v>
      </c>
      <c r="B180" s="103" t="s">
        <v>34</v>
      </c>
      <c r="C180" s="215" t="s">
        <v>212</v>
      </c>
      <c r="D180" s="188">
        <f t="shared" si="18"/>
        <v>19260</v>
      </c>
      <c r="E180" s="188">
        <f t="shared" si="19"/>
        <v>0</v>
      </c>
      <c r="F180" s="171"/>
      <c r="G180" s="135"/>
      <c r="H180" s="135"/>
      <c r="I180" s="135"/>
      <c r="J180" s="135"/>
      <c r="K180" s="188">
        <f t="shared" si="20"/>
        <v>19260</v>
      </c>
      <c r="L180" s="169"/>
      <c r="M180" s="135">
        <v>10860</v>
      </c>
      <c r="N180" s="189"/>
      <c r="O180" s="171"/>
      <c r="P180" s="216"/>
      <c r="Q180" s="171"/>
      <c r="R180" s="115"/>
      <c r="S180" s="171"/>
      <c r="T180" s="201">
        <v>8400</v>
      </c>
      <c r="U180" s="171"/>
      <c r="V180" s="135"/>
      <c r="W180" s="171"/>
    </row>
    <row r="181" spans="1:23" s="1" customFormat="1" ht="22.5">
      <c r="A181" s="122">
        <v>15</v>
      </c>
      <c r="B181" s="103" t="s">
        <v>34</v>
      </c>
      <c r="C181" s="217" t="s">
        <v>449</v>
      </c>
      <c r="D181" s="188">
        <f t="shared" si="18"/>
        <v>24102</v>
      </c>
      <c r="E181" s="188">
        <f t="shared" si="19"/>
        <v>0</v>
      </c>
      <c r="F181" s="171"/>
      <c r="G181" s="135"/>
      <c r="H181" s="135"/>
      <c r="I181" s="135"/>
      <c r="J181" s="135"/>
      <c r="K181" s="188">
        <f t="shared" si="20"/>
        <v>24102</v>
      </c>
      <c r="L181" s="169"/>
      <c r="M181" s="135"/>
      <c r="N181" s="189"/>
      <c r="O181" s="171"/>
      <c r="P181" s="216">
        <v>6930</v>
      </c>
      <c r="Q181" s="171"/>
      <c r="R181" s="115"/>
      <c r="S181" s="171">
        <v>11752</v>
      </c>
      <c r="T181" s="201"/>
      <c r="U181" s="171">
        <v>5420</v>
      </c>
      <c r="V181" s="135"/>
      <c r="W181" s="171"/>
    </row>
    <row r="182" spans="1:23" s="1" customFormat="1">
      <c r="A182" s="122">
        <v>16</v>
      </c>
      <c r="B182" s="103" t="s">
        <v>34</v>
      </c>
      <c r="C182" s="104" t="s">
        <v>290</v>
      </c>
      <c r="D182" s="188">
        <f t="shared" si="18"/>
        <v>0</v>
      </c>
      <c r="E182" s="188">
        <f t="shared" si="19"/>
        <v>0</v>
      </c>
      <c r="F182" s="171"/>
      <c r="G182" s="135"/>
      <c r="H182" s="135"/>
      <c r="I182" s="135"/>
      <c r="J182" s="135"/>
      <c r="K182" s="188">
        <f t="shared" si="20"/>
        <v>0</v>
      </c>
      <c r="L182" s="169"/>
      <c r="M182" s="135"/>
      <c r="N182" s="189"/>
      <c r="O182" s="171"/>
      <c r="P182" s="216"/>
      <c r="Q182" s="171"/>
      <c r="R182" s="115"/>
      <c r="S182" s="171"/>
      <c r="T182" s="201"/>
      <c r="U182" s="171"/>
      <c r="V182" s="135"/>
      <c r="W182" s="171"/>
    </row>
    <row r="183" spans="1:23" s="1" customFormat="1">
      <c r="A183" s="122">
        <v>17</v>
      </c>
      <c r="B183" s="103" t="s">
        <v>34</v>
      </c>
      <c r="C183" s="104" t="s">
        <v>292</v>
      </c>
      <c r="D183" s="188">
        <f t="shared" si="18"/>
        <v>0</v>
      </c>
      <c r="E183" s="188">
        <f t="shared" si="19"/>
        <v>0</v>
      </c>
      <c r="F183" s="171"/>
      <c r="G183" s="135"/>
      <c r="H183" s="135"/>
      <c r="I183" s="135"/>
      <c r="J183" s="135"/>
      <c r="K183" s="188">
        <f t="shared" si="20"/>
        <v>0</v>
      </c>
      <c r="L183" s="169"/>
      <c r="M183" s="135"/>
      <c r="N183" s="189"/>
      <c r="O183" s="171"/>
      <c r="P183" s="216"/>
      <c r="Q183" s="171"/>
      <c r="R183" s="115"/>
      <c r="S183" s="171"/>
      <c r="T183" s="201"/>
      <c r="U183" s="171"/>
      <c r="V183" s="135"/>
      <c r="W183" s="171"/>
    </row>
    <row r="184" spans="1:23" s="1" customFormat="1">
      <c r="A184" s="122">
        <v>18</v>
      </c>
      <c r="B184" s="103" t="s">
        <v>34</v>
      </c>
      <c r="C184" s="104" t="s">
        <v>291</v>
      </c>
      <c r="D184" s="188">
        <f t="shared" si="18"/>
        <v>50500</v>
      </c>
      <c r="E184" s="188">
        <f t="shared" si="19"/>
        <v>50000</v>
      </c>
      <c r="F184" s="171">
        <v>50000</v>
      </c>
      <c r="G184" s="135"/>
      <c r="H184" s="135"/>
      <c r="I184" s="135"/>
      <c r="J184" s="135"/>
      <c r="K184" s="188">
        <f t="shared" si="20"/>
        <v>500</v>
      </c>
      <c r="L184" s="169"/>
      <c r="M184" s="135"/>
      <c r="N184" s="189"/>
      <c r="O184" s="171"/>
      <c r="P184" s="216"/>
      <c r="Q184" s="171"/>
      <c r="R184" s="115"/>
      <c r="S184" s="171"/>
      <c r="T184" s="201">
        <v>500</v>
      </c>
      <c r="U184" s="171"/>
      <c r="V184" s="135"/>
      <c r="W184" s="171"/>
    </row>
    <row r="185" spans="1:23" s="1" customFormat="1" ht="22.5">
      <c r="A185" s="122">
        <v>19</v>
      </c>
      <c r="B185" s="103" t="s">
        <v>34</v>
      </c>
      <c r="C185" s="104" t="s">
        <v>450</v>
      </c>
      <c r="D185" s="188">
        <f t="shared" si="18"/>
        <v>29580</v>
      </c>
      <c r="E185" s="188">
        <f t="shared" si="19"/>
        <v>0</v>
      </c>
      <c r="F185" s="171"/>
      <c r="G185" s="135"/>
      <c r="H185" s="135"/>
      <c r="I185" s="135"/>
      <c r="J185" s="135"/>
      <c r="K185" s="188">
        <f t="shared" si="20"/>
        <v>29580</v>
      </c>
      <c r="L185" s="169"/>
      <c r="M185" s="135"/>
      <c r="N185" s="189"/>
      <c r="O185" s="171">
        <v>7200</v>
      </c>
      <c r="P185" s="216">
        <v>2880</v>
      </c>
      <c r="Q185" s="171"/>
      <c r="R185" s="115">
        <v>7500</v>
      </c>
      <c r="S185" s="171"/>
      <c r="T185" s="201"/>
      <c r="U185" s="171">
        <v>9000</v>
      </c>
      <c r="V185" s="135"/>
      <c r="W185" s="171">
        <v>3000</v>
      </c>
    </row>
    <row r="186" spans="1:23" s="1" customFormat="1">
      <c r="A186" s="122">
        <v>20</v>
      </c>
      <c r="B186" s="103" t="s">
        <v>34</v>
      </c>
      <c r="C186" s="104" t="s">
        <v>451</v>
      </c>
      <c r="D186" s="188">
        <f t="shared" si="18"/>
        <v>54361</v>
      </c>
      <c r="E186" s="188">
        <f t="shared" si="19"/>
        <v>0</v>
      </c>
      <c r="F186" s="171"/>
      <c r="G186" s="135"/>
      <c r="H186" s="135"/>
      <c r="I186" s="135"/>
      <c r="J186" s="135"/>
      <c r="K186" s="188">
        <f t="shared" si="20"/>
        <v>54361</v>
      </c>
      <c r="L186" s="169">
        <v>800</v>
      </c>
      <c r="M186" s="135"/>
      <c r="N186" s="189"/>
      <c r="O186" s="171">
        <v>6488</v>
      </c>
      <c r="P186" s="216"/>
      <c r="Q186" s="171"/>
      <c r="R186" s="115"/>
      <c r="S186" s="171">
        <v>3600</v>
      </c>
      <c r="T186" s="201"/>
      <c r="U186" s="171">
        <v>9800</v>
      </c>
      <c r="V186" s="135">
        <v>29773</v>
      </c>
      <c r="W186" s="171">
        <v>3900</v>
      </c>
    </row>
    <row r="187" spans="1:23" s="3" customFormat="1" ht="10.5">
      <c r="A187" s="131" t="s">
        <v>247</v>
      </c>
      <c r="B187" s="98" t="s">
        <v>34</v>
      </c>
      <c r="C187" s="218" t="s">
        <v>237</v>
      </c>
      <c r="D187" s="100">
        <f t="shared" si="18"/>
        <v>1701561</v>
      </c>
      <c r="E187" s="100">
        <f t="shared" si="19"/>
        <v>580000</v>
      </c>
      <c r="F187" s="101">
        <f>SUM(F188:F206)</f>
        <v>580000</v>
      </c>
      <c r="G187" s="101">
        <f t="shared" ref="G187:J187" si="24">SUM(G188:G206)</f>
        <v>0</v>
      </c>
      <c r="H187" s="101">
        <f t="shared" si="24"/>
        <v>0</v>
      </c>
      <c r="I187" s="101">
        <f t="shared" si="24"/>
        <v>0</v>
      </c>
      <c r="J187" s="101">
        <f t="shared" si="24"/>
        <v>0</v>
      </c>
      <c r="K187" s="100">
        <f t="shared" si="20"/>
        <v>1121561</v>
      </c>
      <c r="L187" s="101">
        <f>SUM(L188:L206)</f>
        <v>101593</v>
      </c>
      <c r="M187" s="101">
        <f t="shared" ref="M187:W187" si="25">SUM(M188:M206)</f>
        <v>60400</v>
      </c>
      <c r="N187" s="101">
        <f t="shared" si="25"/>
        <v>55724</v>
      </c>
      <c r="O187" s="101">
        <f t="shared" si="25"/>
        <v>128732</v>
      </c>
      <c r="P187" s="101">
        <f t="shared" si="25"/>
        <v>55386</v>
      </c>
      <c r="Q187" s="101">
        <f t="shared" si="25"/>
        <v>46970</v>
      </c>
      <c r="R187" s="101">
        <f t="shared" si="25"/>
        <v>119258</v>
      </c>
      <c r="S187" s="101">
        <f t="shared" si="25"/>
        <v>189688</v>
      </c>
      <c r="T187" s="101">
        <f t="shared" si="25"/>
        <v>147604</v>
      </c>
      <c r="U187" s="101">
        <f t="shared" si="25"/>
        <v>65050</v>
      </c>
      <c r="V187" s="101">
        <f t="shared" si="25"/>
        <v>47716</v>
      </c>
      <c r="W187" s="101">
        <f t="shared" si="25"/>
        <v>103440</v>
      </c>
    </row>
    <row r="188" spans="1:23" s="1" customFormat="1" ht="33.75">
      <c r="A188" s="122">
        <v>1</v>
      </c>
      <c r="B188" s="103" t="s">
        <v>34</v>
      </c>
      <c r="C188" s="187" t="s">
        <v>441</v>
      </c>
      <c r="D188" s="188">
        <f t="shared" si="18"/>
        <v>10000</v>
      </c>
      <c r="E188" s="188">
        <f t="shared" si="19"/>
        <v>10000</v>
      </c>
      <c r="F188" s="135">
        <v>10000</v>
      </c>
      <c r="G188" s="135"/>
      <c r="H188" s="135"/>
      <c r="I188" s="135"/>
      <c r="J188" s="135"/>
      <c r="K188" s="188">
        <f t="shared" si="20"/>
        <v>0</v>
      </c>
      <c r="L188" s="135"/>
      <c r="M188" s="135"/>
      <c r="N188" s="110"/>
      <c r="O188" s="135"/>
      <c r="P188" s="135"/>
      <c r="Q188" s="135"/>
      <c r="R188" s="135"/>
      <c r="S188" s="135"/>
      <c r="T188" s="135"/>
      <c r="U188" s="135"/>
      <c r="V188" s="135"/>
      <c r="W188" s="135"/>
    </row>
    <row r="189" spans="1:23" s="1" customFormat="1">
      <c r="A189" s="196">
        <v>2</v>
      </c>
      <c r="B189" s="103" t="s">
        <v>34</v>
      </c>
      <c r="C189" s="183" t="s">
        <v>86</v>
      </c>
      <c r="D189" s="188">
        <f t="shared" si="18"/>
        <v>27000</v>
      </c>
      <c r="E189" s="188">
        <f t="shared" si="19"/>
        <v>0</v>
      </c>
      <c r="F189" s="189"/>
      <c r="G189" s="135"/>
      <c r="H189" s="135"/>
      <c r="I189" s="135"/>
      <c r="J189" s="135"/>
      <c r="K189" s="188">
        <f t="shared" si="20"/>
        <v>27000</v>
      </c>
      <c r="L189" s="136"/>
      <c r="M189" s="135">
        <v>3500</v>
      </c>
      <c r="N189" s="189"/>
      <c r="O189" s="115"/>
      <c r="P189" s="171"/>
      <c r="Q189" s="137"/>
      <c r="R189" s="115">
        <v>4900</v>
      </c>
      <c r="S189" s="137"/>
      <c r="T189" s="136">
        <v>18600</v>
      </c>
      <c r="U189" s="137"/>
      <c r="V189" s="137"/>
      <c r="W189" s="137"/>
    </row>
    <row r="190" spans="1:23" s="1" customFormat="1">
      <c r="A190" s="196">
        <v>3</v>
      </c>
      <c r="B190" s="103" t="s">
        <v>34</v>
      </c>
      <c r="C190" s="219" t="s">
        <v>483</v>
      </c>
      <c r="D190" s="188">
        <f t="shared" si="18"/>
        <v>93622</v>
      </c>
      <c r="E190" s="188">
        <f t="shared" si="19"/>
        <v>0</v>
      </c>
      <c r="F190" s="189"/>
      <c r="G190" s="135"/>
      <c r="H190" s="135"/>
      <c r="I190" s="135"/>
      <c r="J190" s="135"/>
      <c r="K190" s="188">
        <f t="shared" si="20"/>
        <v>93622</v>
      </c>
      <c r="L190" s="136"/>
      <c r="M190" s="135">
        <v>3400</v>
      </c>
      <c r="N190" s="220">
        <v>19164</v>
      </c>
      <c r="O190" s="115"/>
      <c r="P190" s="221">
        <v>5800</v>
      </c>
      <c r="Q190" s="137">
        <v>10650</v>
      </c>
      <c r="R190" s="115">
        <v>12000</v>
      </c>
      <c r="S190" s="137">
        <v>18808</v>
      </c>
      <c r="T190" s="136">
        <v>10000</v>
      </c>
      <c r="U190" s="137">
        <v>5420</v>
      </c>
      <c r="V190" s="137"/>
      <c r="W190" s="137">
        <v>8380</v>
      </c>
    </row>
    <row r="191" spans="1:23" s="1" customFormat="1" ht="33.75">
      <c r="A191" s="196">
        <v>4</v>
      </c>
      <c r="B191" s="103" t="s">
        <v>34</v>
      </c>
      <c r="C191" s="183" t="s">
        <v>590</v>
      </c>
      <c r="D191" s="188">
        <f t="shared" si="18"/>
        <v>91850</v>
      </c>
      <c r="E191" s="188">
        <f t="shared" si="19"/>
        <v>25800</v>
      </c>
      <c r="F191" s="189">
        <v>25800</v>
      </c>
      <c r="G191" s="135"/>
      <c r="H191" s="135"/>
      <c r="I191" s="135"/>
      <c r="J191" s="135"/>
      <c r="K191" s="188">
        <f t="shared" si="20"/>
        <v>66050</v>
      </c>
      <c r="L191" s="136">
        <v>3300</v>
      </c>
      <c r="M191" s="135">
        <v>3500</v>
      </c>
      <c r="N191" s="220">
        <v>1180</v>
      </c>
      <c r="O191" s="115">
        <v>4600</v>
      </c>
      <c r="P191" s="171">
        <v>2850</v>
      </c>
      <c r="Q191" s="137">
        <v>3120</v>
      </c>
      <c r="R191" s="115">
        <v>16200</v>
      </c>
      <c r="S191" s="135">
        <v>1620</v>
      </c>
      <c r="T191" s="136">
        <v>18600</v>
      </c>
      <c r="U191" s="137">
        <v>2860</v>
      </c>
      <c r="V191" s="199">
        <v>6120</v>
      </c>
      <c r="W191" s="137">
        <v>2100</v>
      </c>
    </row>
    <row r="192" spans="1:23" s="1" customFormat="1">
      <c r="A192" s="196">
        <v>5</v>
      </c>
      <c r="B192" s="103" t="s">
        <v>34</v>
      </c>
      <c r="C192" s="183" t="s">
        <v>484</v>
      </c>
      <c r="D192" s="188">
        <f t="shared" si="18"/>
        <v>217936</v>
      </c>
      <c r="E192" s="188">
        <f t="shared" si="19"/>
        <v>167720</v>
      </c>
      <c r="F192" s="135">
        <v>167720</v>
      </c>
      <c r="G192" s="135"/>
      <c r="H192" s="135"/>
      <c r="I192" s="135"/>
      <c r="J192" s="135"/>
      <c r="K192" s="188">
        <f t="shared" si="20"/>
        <v>50216</v>
      </c>
      <c r="L192" s="136"/>
      <c r="M192" s="135"/>
      <c r="N192" s="189"/>
      <c r="O192" s="137">
        <v>1040</v>
      </c>
      <c r="P192" s="216">
        <v>6736</v>
      </c>
      <c r="Q192" s="137">
        <v>14640</v>
      </c>
      <c r="R192" s="115">
        <v>5000</v>
      </c>
      <c r="S192" s="137">
        <v>4650</v>
      </c>
      <c r="T192" s="136">
        <v>10000</v>
      </c>
      <c r="U192" s="137">
        <v>3500</v>
      </c>
      <c r="V192" s="135"/>
      <c r="W192" s="137">
        <v>4650</v>
      </c>
    </row>
    <row r="193" spans="1:25" s="1" customFormat="1">
      <c r="A193" s="196">
        <v>6</v>
      </c>
      <c r="B193" s="103" t="s">
        <v>34</v>
      </c>
      <c r="C193" s="183" t="s">
        <v>88</v>
      </c>
      <c r="D193" s="188">
        <f t="shared" si="18"/>
        <v>533030</v>
      </c>
      <c r="E193" s="188">
        <f t="shared" si="19"/>
        <v>41280</v>
      </c>
      <c r="F193" s="72">
        <v>41280</v>
      </c>
      <c r="G193" s="135"/>
      <c r="H193" s="135"/>
      <c r="I193" s="135"/>
      <c r="J193" s="135"/>
      <c r="K193" s="188">
        <f t="shared" si="20"/>
        <v>491750</v>
      </c>
      <c r="L193" s="136">
        <v>18920</v>
      </c>
      <c r="M193" s="135">
        <v>12000</v>
      </c>
      <c r="N193" s="220">
        <v>30600</v>
      </c>
      <c r="O193" s="115">
        <v>80000</v>
      </c>
      <c r="P193" s="135">
        <v>37120</v>
      </c>
      <c r="Q193" s="137">
        <v>18560</v>
      </c>
      <c r="R193" s="115">
        <v>28380</v>
      </c>
      <c r="S193" s="137">
        <v>147460</v>
      </c>
      <c r="T193" s="136">
        <v>35000</v>
      </c>
      <c r="U193" s="137">
        <v>13750</v>
      </c>
      <c r="V193" s="137"/>
      <c r="W193" s="137">
        <v>69960</v>
      </c>
    </row>
    <row r="194" spans="1:25" s="1" customFormat="1">
      <c r="A194" s="196">
        <v>7</v>
      </c>
      <c r="B194" s="103" t="s">
        <v>34</v>
      </c>
      <c r="C194" s="192" t="s">
        <v>38</v>
      </c>
      <c r="D194" s="188">
        <f t="shared" si="18"/>
        <v>93500</v>
      </c>
      <c r="E194" s="188">
        <f t="shared" si="19"/>
        <v>0</v>
      </c>
      <c r="F194" s="115"/>
      <c r="G194" s="135"/>
      <c r="H194" s="135"/>
      <c r="I194" s="135"/>
      <c r="J194" s="135"/>
      <c r="K194" s="188">
        <f t="shared" si="20"/>
        <v>93500</v>
      </c>
      <c r="L194" s="136">
        <v>19200</v>
      </c>
      <c r="M194" s="135">
        <v>9500</v>
      </c>
      <c r="N194" s="189"/>
      <c r="O194" s="115">
        <v>18000</v>
      </c>
      <c r="P194" s="171"/>
      <c r="Q194" s="137"/>
      <c r="R194" s="115">
        <v>16800</v>
      </c>
      <c r="S194" s="171">
        <v>4800</v>
      </c>
      <c r="T194" s="136">
        <v>9000</v>
      </c>
      <c r="U194" s="137">
        <v>16200</v>
      </c>
      <c r="V194" s="137"/>
      <c r="W194" s="137"/>
    </row>
    <row r="195" spans="1:25" s="1" customFormat="1">
      <c r="A195" s="196">
        <v>8</v>
      </c>
      <c r="B195" s="103" t="s">
        <v>34</v>
      </c>
      <c r="C195" s="222" t="s">
        <v>438</v>
      </c>
      <c r="D195" s="188">
        <f t="shared" si="18"/>
        <v>124814</v>
      </c>
      <c r="E195" s="188">
        <f t="shared" si="19"/>
        <v>0</v>
      </c>
      <c r="F195" s="115"/>
      <c r="G195" s="135"/>
      <c r="H195" s="135"/>
      <c r="I195" s="135"/>
      <c r="J195" s="135"/>
      <c r="K195" s="188">
        <f t="shared" si="20"/>
        <v>124814</v>
      </c>
      <c r="L195" s="136"/>
      <c r="M195" s="135"/>
      <c r="N195" s="223">
        <v>3600</v>
      </c>
      <c r="O195" s="115">
        <v>3600</v>
      </c>
      <c r="P195" s="221">
        <v>2880</v>
      </c>
      <c r="Q195" s="137"/>
      <c r="R195" s="115">
        <v>32378</v>
      </c>
      <c r="S195" s="137">
        <v>12350</v>
      </c>
      <c r="T195" s="136"/>
      <c r="U195" s="137">
        <v>19720</v>
      </c>
      <c r="V195" s="199">
        <v>37936</v>
      </c>
      <c r="W195" s="137">
        <v>12350</v>
      </c>
    </row>
    <row r="196" spans="1:25" s="1" customFormat="1" ht="22.5">
      <c r="A196" s="196">
        <v>9</v>
      </c>
      <c r="B196" s="103" t="s">
        <v>34</v>
      </c>
      <c r="C196" s="224" t="s">
        <v>485</v>
      </c>
      <c r="D196" s="188">
        <f t="shared" si="18"/>
        <v>19009</v>
      </c>
      <c r="E196" s="188">
        <f t="shared" si="19"/>
        <v>0</v>
      </c>
      <c r="F196" s="115"/>
      <c r="G196" s="135"/>
      <c r="H196" s="135"/>
      <c r="I196" s="135"/>
      <c r="J196" s="135"/>
      <c r="K196" s="188">
        <f t="shared" si="20"/>
        <v>19009</v>
      </c>
      <c r="L196" s="136">
        <v>448</v>
      </c>
      <c r="M196" s="135"/>
      <c r="N196" s="189"/>
      <c r="O196" s="115">
        <v>3201</v>
      </c>
      <c r="P196" s="221"/>
      <c r="Q196" s="137"/>
      <c r="R196" s="115">
        <v>3600</v>
      </c>
      <c r="S196" s="137"/>
      <c r="T196" s="136"/>
      <c r="U196" s="137">
        <v>3600</v>
      </c>
      <c r="V196" s="199">
        <v>2160</v>
      </c>
      <c r="W196" s="137">
        <v>6000</v>
      </c>
    </row>
    <row r="197" spans="1:25" s="1" customFormat="1">
      <c r="A197" s="196">
        <v>10</v>
      </c>
      <c r="B197" s="103" t="s">
        <v>34</v>
      </c>
      <c r="C197" s="104" t="s">
        <v>486</v>
      </c>
      <c r="D197" s="188">
        <f t="shared" si="18"/>
        <v>262378</v>
      </c>
      <c r="E197" s="188">
        <f t="shared" si="19"/>
        <v>200000</v>
      </c>
      <c r="F197" s="115">
        <v>200000</v>
      </c>
      <c r="G197" s="135"/>
      <c r="H197" s="135"/>
      <c r="I197" s="135"/>
      <c r="J197" s="135"/>
      <c r="K197" s="188">
        <f t="shared" si="20"/>
        <v>62378</v>
      </c>
      <c r="L197" s="136">
        <v>46787</v>
      </c>
      <c r="M197" s="135"/>
      <c r="N197" s="189"/>
      <c r="O197" s="115">
        <v>14091</v>
      </c>
      <c r="P197" s="221">
        <v>0</v>
      </c>
      <c r="Q197" s="137"/>
      <c r="R197" s="115"/>
      <c r="S197" s="137"/>
      <c r="T197" s="136"/>
      <c r="U197" s="137"/>
      <c r="V197" s="199">
        <v>1500</v>
      </c>
      <c r="W197" s="137"/>
    </row>
    <row r="198" spans="1:25" s="1" customFormat="1" ht="33.75">
      <c r="A198" s="196">
        <v>11</v>
      </c>
      <c r="B198" s="103" t="s">
        <v>34</v>
      </c>
      <c r="C198" s="183" t="s">
        <v>487</v>
      </c>
      <c r="D198" s="188">
        <f t="shared" si="18"/>
        <v>48384</v>
      </c>
      <c r="E198" s="188">
        <f t="shared" si="19"/>
        <v>14000</v>
      </c>
      <c r="F198" s="72">
        <v>14000</v>
      </c>
      <c r="G198" s="135">
        <v>0</v>
      </c>
      <c r="H198" s="135"/>
      <c r="I198" s="135"/>
      <c r="J198" s="135"/>
      <c r="K198" s="188">
        <f t="shared" si="20"/>
        <v>34384</v>
      </c>
      <c r="L198" s="136">
        <v>4900</v>
      </c>
      <c r="M198" s="135">
        <v>3500</v>
      </c>
      <c r="N198" s="189"/>
      <c r="O198" s="115">
        <v>4200</v>
      </c>
      <c r="P198" s="171"/>
      <c r="Q198" s="137"/>
      <c r="R198" s="115"/>
      <c r="S198" s="189"/>
      <c r="T198" s="199">
        <v>21784</v>
      </c>
      <c r="U198" s="137"/>
      <c r="V198" s="135"/>
      <c r="W198" s="137"/>
      <c r="Y198" s="162"/>
    </row>
    <row r="199" spans="1:25" s="1" customFormat="1">
      <c r="A199" s="196">
        <v>12</v>
      </c>
      <c r="B199" s="103" t="s">
        <v>34</v>
      </c>
      <c r="C199" s="183" t="s">
        <v>488</v>
      </c>
      <c r="D199" s="188">
        <f t="shared" si="18"/>
        <v>131920</v>
      </c>
      <c r="E199" s="188">
        <f t="shared" si="19"/>
        <v>121200</v>
      </c>
      <c r="F199" s="135">
        <v>121200</v>
      </c>
      <c r="G199" s="135"/>
      <c r="H199" s="135"/>
      <c r="I199" s="135"/>
      <c r="J199" s="135"/>
      <c r="K199" s="188">
        <f t="shared" si="20"/>
        <v>10720</v>
      </c>
      <c r="L199" s="136">
        <v>1520</v>
      </c>
      <c r="M199" s="135">
        <v>8000</v>
      </c>
      <c r="N199" s="189"/>
      <c r="O199" s="115"/>
      <c r="P199" s="171"/>
      <c r="Q199" s="137"/>
      <c r="R199" s="115"/>
      <c r="S199" s="189"/>
      <c r="T199" s="199">
        <v>1200</v>
      </c>
      <c r="U199" s="137"/>
      <c r="V199" s="135"/>
      <c r="W199" s="137"/>
    </row>
    <row r="200" spans="1:25" s="1" customFormat="1">
      <c r="A200" s="196">
        <v>13</v>
      </c>
      <c r="B200" s="103" t="s">
        <v>34</v>
      </c>
      <c r="C200" s="183" t="s">
        <v>232</v>
      </c>
      <c r="D200" s="188">
        <f t="shared" si="18"/>
        <v>13320</v>
      </c>
      <c r="E200" s="188">
        <f t="shared" si="19"/>
        <v>0</v>
      </c>
      <c r="F200" s="135"/>
      <c r="G200" s="135"/>
      <c r="H200" s="135"/>
      <c r="I200" s="135"/>
      <c r="J200" s="135"/>
      <c r="K200" s="188">
        <f t="shared" si="20"/>
        <v>13320</v>
      </c>
      <c r="L200" s="136">
        <v>300</v>
      </c>
      <c r="M200" s="135">
        <v>2500</v>
      </c>
      <c r="N200" s="203"/>
      <c r="O200" s="137"/>
      <c r="P200" s="216"/>
      <c r="Q200" s="137"/>
      <c r="R200" s="115"/>
      <c r="S200" s="189"/>
      <c r="T200" s="199">
        <v>10520</v>
      </c>
      <c r="U200" s="137"/>
      <c r="V200" s="135"/>
      <c r="W200" s="137"/>
    </row>
    <row r="201" spans="1:25" s="1" customFormat="1">
      <c r="A201" s="196">
        <v>14</v>
      </c>
      <c r="B201" s="103" t="s">
        <v>34</v>
      </c>
      <c r="C201" s="183" t="s">
        <v>489</v>
      </c>
      <c r="D201" s="188">
        <f t="shared" si="18"/>
        <v>15080</v>
      </c>
      <c r="E201" s="188">
        <f t="shared" si="19"/>
        <v>0</v>
      </c>
      <c r="F201" s="135"/>
      <c r="G201" s="135"/>
      <c r="H201" s="135"/>
      <c r="I201" s="135"/>
      <c r="J201" s="135"/>
      <c r="K201" s="188">
        <f t="shared" si="20"/>
        <v>15080</v>
      </c>
      <c r="L201" s="136"/>
      <c r="M201" s="135">
        <v>11000</v>
      </c>
      <c r="N201" s="225">
        <v>1180</v>
      </c>
      <c r="O201" s="137"/>
      <c r="P201" s="216"/>
      <c r="Q201" s="137"/>
      <c r="R201" s="115"/>
      <c r="S201" s="189"/>
      <c r="T201" s="199">
        <v>2900</v>
      </c>
      <c r="U201" s="137"/>
      <c r="V201" s="135"/>
      <c r="W201" s="137"/>
    </row>
    <row r="202" spans="1:25" s="1" customFormat="1" ht="22.5">
      <c r="A202" s="196">
        <v>15</v>
      </c>
      <c r="B202" s="103" t="s">
        <v>34</v>
      </c>
      <c r="C202" s="226" t="s">
        <v>490</v>
      </c>
      <c r="D202" s="188">
        <f t="shared" ref="D202:D265" si="26">E202+K202</f>
        <v>1040</v>
      </c>
      <c r="E202" s="188">
        <f t="shared" ref="E202:E265" si="27">SUM(F202:J202)</f>
        <v>0</v>
      </c>
      <c r="F202" s="135"/>
      <c r="G202" s="135"/>
      <c r="H202" s="135"/>
      <c r="I202" s="135"/>
      <c r="J202" s="135"/>
      <c r="K202" s="188">
        <f t="shared" ref="K202:K265" si="28">SUM(L202:W202)</f>
        <v>1040</v>
      </c>
      <c r="L202" s="136">
        <v>1040</v>
      </c>
      <c r="M202" s="135"/>
      <c r="N202" s="227"/>
      <c r="O202" s="137"/>
      <c r="P202" s="216"/>
      <c r="Q202" s="137"/>
      <c r="R202" s="115"/>
      <c r="S202" s="189"/>
      <c r="T202" s="199"/>
      <c r="U202" s="137"/>
      <c r="V202" s="135"/>
      <c r="W202" s="137"/>
    </row>
    <row r="203" spans="1:25" s="1" customFormat="1">
      <c r="A203" s="196">
        <v>16</v>
      </c>
      <c r="B203" s="103" t="s">
        <v>34</v>
      </c>
      <c r="C203" s="228" t="s">
        <v>491</v>
      </c>
      <c r="D203" s="188">
        <f t="shared" si="26"/>
        <v>5178</v>
      </c>
      <c r="E203" s="188">
        <f t="shared" si="27"/>
        <v>0</v>
      </c>
      <c r="F203" s="135"/>
      <c r="G203" s="135"/>
      <c r="H203" s="135"/>
      <c r="I203" s="135"/>
      <c r="J203" s="135"/>
      <c r="K203" s="188">
        <f t="shared" si="28"/>
        <v>5178</v>
      </c>
      <c r="L203" s="136">
        <v>5178</v>
      </c>
      <c r="M203" s="135"/>
      <c r="N203" s="229"/>
      <c r="O203" s="137"/>
      <c r="P203" s="216"/>
      <c r="Q203" s="137"/>
      <c r="R203" s="115"/>
      <c r="S203" s="189"/>
      <c r="T203" s="199"/>
      <c r="U203" s="137"/>
      <c r="V203" s="135"/>
      <c r="W203" s="137"/>
    </row>
    <row r="204" spans="1:25" s="1" customFormat="1">
      <c r="A204" s="196">
        <v>17</v>
      </c>
      <c r="B204" s="103" t="s">
        <v>34</v>
      </c>
      <c r="C204" s="183" t="s">
        <v>492</v>
      </c>
      <c r="D204" s="188">
        <f t="shared" si="26"/>
        <v>0</v>
      </c>
      <c r="E204" s="188">
        <f t="shared" si="27"/>
        <v>0</v>
      </c>
      <c r="F204" s="135"/>
      <c r="G204" s="135"/>
      <c r="H204" s="135"/>
      <c r="I204" s="135"/>
      <c r="J204" s="135"/>
      <c r="K204" s="188">
        <f t="shared" si="28"/>
        <v>0</v>
      </c>
      <c r="L204" s="136"/>
      <c r="M204" s="135"/>
      <c r="N204" s="189"/>
      <c r="O204" s="137"/>
      <c r="P204" s="216"/>
      <c r="Q204" s="137"/>
      <c r="R204" s="115"/>
      <c r="S204" s="137"/>
      <c r="T204" s="199"/>
      <c r="U204" s="137"/>
      <c r="V204" s="135"/>
      <c r="W204" s="137"/>
    </row>
    <row r="205" spans="1:25" s="1" customFormat="1">
      <c r="A205" s="196">
        <v>18</v>
      </c>
      <c r="B205" s="103" t="s">
        <v>34</v>
      </c>
      <c r="C205" s="183" t="s">
        <v>89</v>
      </c>
      <c r="D205" s="188">
        <f t="shared" si="26"/>
        <v>10000</v>
      </c>
      <c r="E205" s="188">
        <f t="shared" si="27"/>
        <v>0</v>
      </c>
      <c r="F205" s="135"/>
      <c r="G205" s="135"/>
      <c r="H205" s="135"/>
      <c r="I205" s="135"/>
      <c r="J205" s="135"/>
      <c r="K205" s="188">
        <f t="shared" si="28"/>
        <v>10000</v>
      </c>
      <c r="L205" s="136"/>
      <c r="M205" s="135"/>
      <c r="N205" s="189"/>
      <c r="O205" s="115"/>
      <c r="P205" s="171"/>
      <c r="Q205" s="137"/>
      <c r="R205" s="115"/>
      <c r="S205" s="137"/>
      <c r="T205" s="115">
        <v>10000</v>
      </c>
      <c r="U205" s="137"/>
      <c r="V205" s="135"/>
      <c r="W205" s="137"/>
    </row>
    <row r="206" spans="1:25" s="1" customFormat="1">
      <c r="A206" s="196">
        <v>19</v>
      </c>
      <c r="B206" s="103" t="s">
        <v>34</v>
      </c>
      <c r="C206" s="183" t="s">
        <v>90</v>
      </c>
      <c r="D206" s="188">
        <f t="shared" si="26"/>
        <v>3500</v>
      </c>
      <c r="E206" s="188">
        <f t="shared" si="27"/>
        <v>0</v>
      </c>
      <c r="F206" s="135"/>
      <c r="G206" s="135"/>
      <c r="H206" s="135"/>
      <c r="I206" s="135"/>
      <c r="J206" s="135"/>
      <c r="K206" s="188">
        <f t="shared" si="28"/>
        <v>3500</v>
      </c>
      <c r="L206" s="136"/>
      <c r="M206" s="135">
        <v>3500</v>
      </c>
      <c r="N206" s="137"/>
      <c r="O206" s="115"/>
      <c r="P206" s="171"/>
      <c r="Q206" s="137"/>
      <c r="R206" s="115"/>
      <c r="S206" s="137"/>
      <c r="T206" s="135"/>
      <c r="U206" s="137"/>
      <c r="V206" s="135"/>
      <c r="W206" s="137"/>
    </row>
    <row r="207" spans="1:25" s="3" customFormat="1" ht="21">
      <c r="A207" s="131" t="s">
        <v>248</v>
      </c>
      <c r="B207" s="98" t="s">
        <v>34</v>
      </c>
      <c r="C207" s="186" t="s">
        <v>24</v>
      </c>
      <c r="D207" s="100">
        <f t="shared" si="26"/>
        <v>389341.967</v>
      </c>
      <c r="E207" s="100">
        <f t="shared" si="27"/>
        <v>130000</v>
      </c>
      <c r="F207" s="101">
        <f>SUM(F208:F214)</f>
        <v>130000</v>
      </c>
      <c r="G207" s="101">
        <f t="shared" ref="G207:W207" si="29">SUM(G208:G214)</f>
        <v>0</v>
      </c>
      <c r="H207" s="101">
        <f t="shared" si="29"/>
        <v>0</v>
      </c>
      <c r="I207" s="101">
        <f t="shared" si="29"/>
        <v>0</v>
      </c>
      <c r="J207" s="101">
        <f t="shared" si="29"/>
        <v>0</v>
      </c>
      <c r="K207" s="51">
        <f t="shared" si="28"/>
        <v>259341.967</v>
      </c>
      <c r="L207" s="101">
        <f t="shared" si="29"/>
        <v>118746</v>
      </c>
      <c r="M207" s="101">
        <f t="shared" si="29"/>
        <v>25846.966999999997</v>
      </c>
      <c r="N207" s="101">
        <f t="shared" si="29"/>
        <v>3780</v>
      </c>
      <c r="O207" s="101">
        <f t="shared" si="29"/>
        <v>13680</v>
      </c>
      <c r="P207" s="101">
        <f t="shared" si="29"/>
        <v>0</v>
      </c>
      <c r="Q207" s="101">
        <f t="shared" si="29"/>
        <v>8700</v>
      </c>
      <c r="R207" s="101">
        <f t="shared" si="29"/>
        <v>24475</v>
      </c>
      <c r="S207" s="101">
        <f t="shared" si="29"/>
        <v>3640</v>
      </c>
      <c r="T207" s="101">
        <f t="shared" si="29"/>
        <v>35724</v>
      </c>
      <c r="U207" s="101">
        <f t="shared" si="29"/>
        <v>6710</v>
      </c>
      <c r="V207" s="101">
        <f t="shared" si="29"/>
        <v>4800</v>
      </c>
      <c r="W207" s="101">
        <f t="shared" si="29"/>
        <v>13240</v>
      </c>
    </row>
    <row r="208" spans="1:25" s="3" customFormat="1" ht="22.5">
      <c r="A208" s="204">
        <v>1</v>
      </c>
      <c r="B208" s="121" t="s">
        <v>34</v>
      </c>
      <c r="C208" s="230" t="s">
        <v>401</v>
      </c>
      <c r="D208" s="51">
        <f t="shared" si="26"/>
        <v>53640.203999999998</v>
      </c>
      <c r="E208" s="51">
        <f t="shared" si="27"/>
        <v>40000</v>
      </c>
      <c r="F208" s="231">
        <v>40000</v>
      </c>
      <c r="G208" s="101"/>
      <c r="H208" s="101"/>
      <c r="I208" s="101"/>
      <c r="J208" s="101"/>
      <c r="K208" s="51">
        <f t="shared" si="28"/>
        <v>13640.204</v>
      </c>
      <c r="L208" s="232">
        <v>246</v>
      </c>
      <c r="M208" s="233">
        <f>2616.336+1817.868</f>
        <v>4434.2039999999997</v>
      </c>
      <c r="N208" s="105">
        <v>1000</v>
      </c>
      <c r="O208" s="105"/>
      <c r="P208" s="105"/>
      <c r="Q208" s="105"/>
      <c r="R208" s="105">
        <v>1560</v>
      </c>
      <c r="S208" s="105"/>
      <c r="T208" s="105">
        <v>1500</v>
      </c>
      <c r="U208" s="105">
        <v>2700</v>
      </c>
      <c r="V208" s="105">
        <v>1200</v>
      </c>
      <c r="W208" s="105">
        <v>1000</v>
      </c>
    </row>
    <row r="209" spans="1:23" ht="22.5">
      <c r="A209" s="234">
        <v>2</v>
      </c>
      <c r="B209" s="121" t="s">
        <v>34</v>
      </c>
      <c r="C209" s="235" t="s">
        <v>402</v>
      </c>
      <c r="D209" s="51">
        <f t="shared" si="26"/>
        <v>60660</v>
      </c>
      <c r="E209" s="51">
        <f t="shared" si="27"/>
        <v>35000</v>
      </c>
      <c r="F209" s="147">
        <v>35000</v>
      </c>
      <c r="G209" s="135"/>
      <c r="H209" s="135"/>
      <c r="I209" s="135"/>
      <c r="J209" s="135"/>
      <c r="K209" s="51">
        <f t="shared" si="28"/>
        <v>25660</v>
      </c>
      <c r="L209" s="118">
        <v>3300</v>
      </c>
      <c r="M209" s="236"/>
      <c r="N209" s="189">
        <v>1180</v>
      </c>
      <c r="O209" s="115">
        <v>4600</v>
      </c>
      <c r="P209" s="171"/>
      <c r="Q209" s="137">
        <v>1480</v>
      </c>
      <c r="R209" s="115">
        <v>4180</v>
      </c>
      <c r="S209" s="137"/>
      <c r="T209" s="136">
        <v>2760</v>
      </c>
      <c r="U209" s="135">
        <v>3350</v>
      </c>
      <c r="V209" s="137">
        <v>2160</v>
      </c>
      <c r="W209" s="137">
        <v>2650</v>
      </c>
    </row>
    <row r="210" spans="1:23" ht="22.5">
      <c r="A210" s="234">
        <v>3</v>
      </c>
      <c r="B210" s="121" t="s">
        <v>34</v>
      </c>
      <c r="C210" s="106" t="s">
        <v>403</v>
      </c>
      <c r="D210" s="51">
        <f t="shared" si="26"/>
        <v>110644</v>
      </c>
      <c r="E210" s="51">
        <f t="shared" si="27"/>
        <v>55000</v>
      </c>
      <c r="F210" s="147">
        <v>55000</v>
      </c>
      <c r="G210" s="135"/>
      <c r="H210" s="135"/>
      <c r="I210" s="135"/>
      <c r="J210" s="135"/>
      <c r="K210" s="51">
        <f t="shared" si="28"/>
        <v>55644</v>
      </c>
      <c r="L210" s="118"/>
      <c r="M210" s="236"/>
      <c r="N210" s="189">
        <v>1600</v>
      </c>
      <c r="O210" s="115">
        <v>9080</v>
      </c>
      <c r="P210" s="171"/>
      <c r="Q210" s="137">
        <v>1280</v>
      </c>
      <c r="R210" s="115">
        <v>7480</v>
      </c>
      <c r="S210" s="137">
        <v>3640</v>
      </c>
      <c r="T210" s="135">
        <v>24744</v>
      </c>
      <c r="U210" s="135">
        <v>480</v>
      </c>
      <c r="V210" s="137"/>
      <c r="W210" s="137">
        <f>4460+2880</f>
        <v>7340</v>
      </c>
    </row>
    <row r="211" spans="1:23" ht="33.75">
      <c r="A211" s="234">
        <v>4</v>
      </c>
      <c r="B211" s="121" t="s">
        <v>34</v>
      </c>
      <c r="C211" s="174" t="s">
        <v>91</v>
      </c>
      <c r="D211" s="51">
        <f t="shared" si="26"/>
        <v>76657.763000000006</v>
      </c>
      <c r="E211" s="51">
        <f t="shared" si="27"/>
        <v>0</v>
      </c>
      <c r="F211" s="147"/>
      <c r="G211" s="135"/>
      <c r="H211" s="135"/>
      <c r="I211" s="135"/>
      <c r="J211" s="135"/>
      <c r="K211" s="51">
        <f t="shared" si="28"/>
        <v>76657.763000000006</v>
      </c>
      <c r="L211" s="118">
        <v>38400</v>
      </c>
      <c r="M211" s="236">
        <v>21412.762999999999</v>
      </c>
      <c r="N211" s="189"/>
      <c r="O211" s="115"/>
      <c r="P211" s="171"/>
      <c r="Q211" s="137"/>
      <c r="R211" s="115">
        <v>6255</v>
      </c>
      <c r="S211" s="137"/>
      <c r="T211" s="135">
        <v>6720</v>
      </c>
      <c r="U211" s="135">
        <v>180</v>
      </c>
      <c r="V211" s="137">
        <v>1440</v>
      </c>
      <c r="W211" s="137">
        <v>2250</v>
      </c>
    </row>
    <row r="212" spans="1:23" ht="22.5">
      <c r="A212" s="234">
        <v>5</v>
      </c>
      <c r="B212" s="121" t="s">
        <v>34</v>
      </c>
      <c r="C212" s="153" t="s">
        <v>404</v>
      </c>
      <c r="D212" s="51">
        <f t="shared" si="26"/>
        <v>44340</v>
      </c>
      <c r="E212" s="51">
        <f t="shared" si="27"/>
        <v>0</v>
      </c>
      <c r="F212" s="105"/>
      <c r="G212" s="105"/>
      <c r="H212" s="105"/>
      <c r="I212" s="105"/>
      <c r="J212" s="105"/>
      <c r="K212" s="51">
        <f t="shared" si="28"/>
        <v>44340</v>
      </c>
      <c r="L212" s="118">
        <v>38400</v>
      </c>
      <c r="M212" s="105"/>
      <c r="N212" s="105"/>
      <c r="O212" s="105"/>
      <c r="P212" s="105"/>
      <c r="Q212" s="105">
        <v>5940</v>
      </c>
      <c r="R212" s="105"/>
      <c r="S212" s="105"/>
      <c r="T212" s="105"/>
      <c r="U212" s="105"/>
      <c r="V212" s="237"/>
      <c r="W212" s="237"/>
    </row>
    <row r="213" spans="1:23">
      <c r="A213" s="234">
        <v>6</v>
      </c>
      <c r="B213" s="121" t="s">
        <v>34</v>
      </c>
      <c r="C213" s="238" t="s">
        <v>405</v>
      </c>
      <c r="D213" s="51">
        <f t="shared" si="26"/>
        <v>43400</v>
      </c>
      <c r="E213" s="51">
        <f t="shared" si="27"/>
        <v>0</v>
      </c>
      <c r="F213" s="105"/>
      <c r="G213" s="105"/>
      <c r="H213" s="105"/>
      <c r="I213" s="105"/>
      <c r="J213" s="105"/>
      <c r="K213" s="51">
        <f t="shared" si="28"/>
        <v>43400</v>
      </c>
      <c r="L213" s="118">
        <v>38400</v>
      </c>
      <c r="M213" s="105"/>
      <c r="N213" s="105"/>
      <c r="O213" s="105"/>
      <c r="P213" s="105"/>
      <c r="Q213" s="105"/>
      <c r="R213" s="105">
        <v>5000</v>
      </c>
      <c r="S213" s="105"/>
      <c r="T213" s="105"/>
      <c r="U213" s="105"/>
      <c r="V213" s="237"/>
      <c r="W213" s="237"/>
    </row>
    <row r="214" spans="1:23" ht="33.75">
      <c r="A214" s="204">
        <v>7</v>
      </c>
      <c r="B214" s="121" t="s">
        <v>34</v>
      </c>
      <c r="C214" s="174" t="s">
        <v>91</v>
      </c>
      <c r="D214" s="51">
        <f t="shared" si="26"/>
        <v>0</v>
      </c>
      <c r="E214" s="51">
        <f t="shared" si="27"/>
        <v>0</v>
      </c>
      <c r="F214" s="239"/>
      <c r="G214" s="135"/>
      <c r="H214" s="135"/>
      <c r="I214" s="135"/>
      <c r="J214" s="135"/>
      <c r="K214" s="51">
        <f t="shared" si="28"/>
        <v>0</v>
      </c>
      <c r="L214" s="136"/>
      <c r="M214" s="135"/>
      <c r="N214" s="179"/>
      <c r="O214" s="147"/>
      <c r="P214" s="170"/>
      <c r="Q214" s="145"/>
      <c r="R214" s="147"/>
      <c r="S214" s="145"/>
      <c r="T214" s="135"/>
      <c r="U214" s="135"/>
      <c r="V214" s="145"/>
      <c r="W214" s="137"/>
    </row>
    <row r="215" spans="1:23" s="487" customFormat="1">
      <c r="A215" s="185">
        <v>4</v>
      </c>
      <c r="B215" s="94" t="s">
        <v>34</v>
      </c>
      <c r="C215" s="486" t="s">
        <v>240</v>
      </c>
      <c r="D215" s="51">
        <f t="shared" si="26"/>
        <v>780354</v>
      </c>
      <c r="E215" s="51">
        <f t="shared" si="27"/>
        <v>240000</v>
      </c>
      <c r="F215" s="96">
        <f t="shared" ref="F215:W215" si="30">SUM(F216:F234)</f>
        <v>240000</v>
      </c>
      <c r="G215" s="96">
        <f t="shared" si="30"/>
        <v>0</v>
      </c>
      <c r="H215" s="96">
        <f t="shared" si="30"/>
        <v>0</v>
      </c>
      <c r="I215" s="96">
        <f t="shared" si="30"/>
        <v>0</v>
      </c>
      <c r="J215" s="96">
        <f t="shared" si="30"/>
        <v>0</v>
      </c>
      <c r="K215" s="51">
        <f t="shared" si="28"/>
        <v>540354</v>
      </c>
      <c r="L215" s="96">
        <f t="shared" si="30"/>
        <v>21846</v>
      </c>
      <c r="M215" s="96">
        <f t="shared" si="30"/>
        <v>68400</v>
      </c>
      <c r="N215" s="96">
        <f t="shared" si="30"/>
        <v>18380</v>
      </c>
      <c r="O215" s="96">
        <f t="shared" si="30"/>
        <v>31001</v>
      </c>
      <c r="P215" s="96">
        <f t="shared" si="30"/>
        <v>34842</v>
      </c>
      <c r="Q215" s="96">
        <f t="shared" si="30"/>
        <v>43380</v>
      </c>
      <c r="R215" s="96">
        <f t="shared" si="30"/>
        <v>95879</v>
      </c>
      <c r="S215" s="96">
        <f t="shared" si="30"/>
        <v>33070</v>
      </c>
      <c r="T215" s="96">
        <f t="shared" si="30"/>
        <v>38698</v>
      </c>
      <c r="U215" s="96">
        <f t="shared" si="30"/>
        <v>89458</v>
      </c>
      <c r="V215" s="96">
        <f t="shared" si="30"/>
        <v>30220</v>
      </c>
      <c r="W215" s="96">
        <f t="shared" si="30"/>
        <v>35180</v>
      </c>
    </row>
    <row r="216" spans="1:23" s="1" customFormat="1">
      <c r="A216" s="122">
        <v>1</v>
      </c>
      <c r="B216" s="103" t="s">
        <v>34</v>
      </c>
      <c r="C216" s="240" t="s">
        <v>325</v>
      </c>
      <c r="D216" s="207">
        <f t="shared" si="26"/>
        <v>66678</v>
      </c>
      <c r="E216" s="207">
        <f t="shared" si="27"/>
        <v>15000</v>
      </c>
      <c r="F216" s="241">
        <v>15000</v>
      </c>
      <c r="G216" s="135"/>
      <c r="H216" s="135"/>
      <c r="I216" s="135"/>
      <c r="J216" s="135"/>
      <c r="K216" s="207">
        <f t="shared" si="28"/>
        <v>51678</v>
      </c>
      <c r="L216" s="242"/>
      <c r="M216" s="243">
        <v>5000</v>
      </c>
      <c r="N216" s="244">
        <v>800</v>
      </c>
      <c r="O216" s="245"/>
      <c r="P216" s="246">
        <v>1920</v>
      </c>
      <c r="Q216" s="245">
        <v>4800</v>
      </c>
      <c r="R216" s="245">
        <v>3040</v>
      </c>
      <c r="S216" s="247">
        <v>3000</v>
      </c>
      <c r="T216" s="247">
        <v>19278</v>
      </c>
      <c r="U216" s="245">
        <v>400</v>
      </c>
      <c r="V216" s="245"/>
      <c r="W216" s="245">
        <v>13440</v>
      </c>
    </row>
    <row r="217" spans="1:23" s="1" customFormat="1" ht="33.75">
      <c r="A217" s="122">
        <v>2</v>
      </c>
      <c r="B217" s="103" t="s">
        <v>34</v>
      </c>
      <c r="C217" s="248" t="s">
        <v>326</v>
      </c>
      <c r="D217" s="207">
        <f t="shared" si="26"/>
        <v>48000</v>
      </c>
      <c r="E217" s="207">
        <f t="shared" si="27"/>
        <v>40000</v>
      </c>
      <c r="F217" s="241">
        <v>40000</v>
      </c>
      <c r="G217" s="135"/>
      <c r="H217" s="135"/>
      <c r="I217" s="135"/>
      <c r="J217" s="135"/>
      <c r="K217" s="207">
        <f t="shared" si="28"/>
        <v>8000</v>
      </c>
      <c r="L217" s="242"/>
      <c r="M217" s="243">
        <v>8000</v>
      </c>
      <c r="N217" s="244"/>
      <c r="O217" s="249"/>
      <c r="P217" s="246">
        <v>0</v>
      </c>
      <c r="Q217" s="245"/>
      <c r="R217" s="245"/>
      <c r="S217" s="247"/>
      <c r="T217" s="245"/>
      <c r="U217" s="245"/>
      <c r="V217" s="249"/>
      <c r="W217" s="245">
        <v>0</v>
      </c>
    </row>
    <row r="218" spans="1:23" s="1" customFormat="1" ht="45">
      <c r="A218" s="122">
        <v>3</v>
      </c>
      <c r="B218" s="103" t="s">
        <v>34</v>
      </c>
      <c r="C218" s="240" t="s">
        <v>327</v>
      </c>
      <c r="D218" s="207">
        <f t="shared" si="26"/>
        <v>30000</v>
      </c>
      <c r="E218" s="207">
        <f t="shared" si="27"/>
        <v>20000</v>
      </c>
      <c r="F218" s="241">
        <v>20000</v>
      </c>
      <c r="G218" s="105"/>
      <c r="H218" s="105"/>
      <c r="I218" s="105"/>
      <c r="J218" s="105"/>
      <c r="K218" s="207">
        <f t="shared" si="28"/>
        <v>10000</v>
      </c>
      <c r="L218" s="242"/>
      <c r="M218" s="243">
        <v>10000</v>
      </c>
      <c r="N218" s="244"/>
      <c r="O218" s="249"/>
      <c r="P218" s="246">
        <v>0</v>
      </c>
      <c r="Q218" s="245"/>
      <c r="R218" s="245"/>
      <c r="S218" s="247"/>
      <c r="T218" s="245"/>
      <c r="U218" s="245"/>
      <c r="V218" s="249"/>
      <c r="W218" s="245">
        <v>0</v>
      </c>
    </row>
    <row r="219" spans="1:23" s="1" customFormat="1" ht="22.5">
      <c r="A219" s="122">
        <v>4</v>
      </c>
      <c r="B219" s="103" t="s">
        <v>34</v>
      </c>
      <c r="C219" s="248" t="s">
        <v>328</v>
      </c>
      <c r="D219" s="207">
        <f t="shared" si="26"/>
        <v>151670</v>
      </c>
      <c r="E219" s="207">
        <f t="shared" si="27"/>
        <v>20000</v>
      </c>
      <c r="F219" s="241">
        <v>20000</v>
      </c>
      <c r="G219" s="135"/>
      <c r="H219" s="135"/>
      <c r="I219" s="135"/>
      <c r="J219" s="135"/>
      <c r="K219" s="207">
        <f t="shared" si="28"/>
        <v>131670</v>
      </c>
      <c r="L219" s="242">
        <v>10880</v>
      </c>
      <c r="M219" s="243">
        <v>5000</v>
      </c>
      <c r="N219" s="244">
        <v>9560</v>
      </c>
      <c r="O219" s="249">
        <v>12800</v>
      </c>
      <c r="P219" s="246">
        <v>12000</v>
      </c>
      <c r="Q219" s="250">
        <v>28390</v>
      </c>
      <c r="R219" s="245">
        <v>3600</v>
      </c>
      <c r="S219" s="247">
        <v>18120</v>
      </c>
      <c r="T219" s="245"/>
      <c r="U219" s="245">
        <v>10560</v>
      </c>
      <c r="V219" s="247">
        <f>9120+5040+1440+1520</f>
        <v>17120</v>
      </c>
      <c r="W219" s="245">
        <v>3640</v>
      </c>
    </row>
    <row r="220" spans="1:23" s="1" customFormat="1">
      <c r="A220" s="122">
        <v>5</v>
      </c>
      <c r="B220" s="103" t="s">
        <v>34</v>
      </c>
      <c r="C220" s="248" t="s">
        <v>92</v>
      </c>
      <c r="D220" s="207">
        <f t="shared" si="26"/>
        <v>84988</v>
      </c>
      <c r="E220" s="207">
        <f t="shared" si="27"/>
        <v>0</v>
      </c>
      <c r="F220" s="241"/>
      <c r="G220" s="135"/>
      <c r="H220" s="135"/>
      <c r="I220" s="135"/>
      <c r="J220" s="135"/>
      <c r="K220" s="207">
        <f t="shared" si="28"/>
        <v>84988</v>
      </c>
      <c r="L220" s="251">
        <v>9800</v>
      </c>
      <c r="M220" s="243">
        <v>8000</v>
      </c>
      <c r="N220" s="244">
        <v>4680</v>
      </c>
      <c r="O220" s="249">
        <v>6390</v>
      </c>
      <c r="P220" s="246">
        <v>2820</v>
      </c>
      <c r="Q220" s="249">
        <v>9010</v>
      </c>
      <c r="R220" s="249">
        <v>4060</v>
      </c>
      <c r="S220" s="247">
        <v>9700</v>
      </c>
      <c r="T220" s="249">
        <v>2760</v>
      </c>
      <c r="U220" s="249">
        <v>13528</v>
      </c>
      <c r="V220" s="249">
        <f>3700+2500</f>
        <v>6200</v>
      </c>
      <c r="W220" s="249">
        <v>8040</v>
      </c>
    </row>
    <row r="221" spans="1:23" s="1" customFormat="1" ht="22.5">
      <c r="A221" s="122">
        <v>6</v>
      </c>
      <c r="B221" s="103" t="s">
        <v>34</v>
      </c>
      <c r="C221" s="240" t="s">
        <v>329</v>
      </c>
      <c r="D221" s="207">
        <f t="shared" si="26"/>
        <v>68460</v>
      </c>
      <c r="E221" s="207">
        <f t="shared" si="27"/>
        <v>40000</v>
      </c>
      <c r="F221" s="241">
        <v>40000</v>
      </c>
      <c r="G221" s="135"/>
      <c r="H221" s="135"/>
      <c r="I221" s="135"/>
      <c r="J221" s="135"/>
      <c r="K221" s="207">
        <f t="shared" si="28"/>
        <v>28460</v>
      </c>
      <c r="L221" s="251"/>
      <c r="M221" s="243">
        <v>0</v>
      </c>
      <c r="N221" s="244"/>
      <c r="O221" s="249"/>
      <c r="P221" s="246">
        <v>0</v>
      </c>
      <c r="Q221" s="249"/>
      <c r="R221" s="249">
        <v>6000</v>
      </c>
      <c r="S221" s="247">
        <v>1600</v>
      </c>
      <c r="T221" s="249">
        <v>4000</v>
      </c>
      <c r="U221" s="249">
        <f>5100+7800</f>
        <v>12900</v>
      </c>
      <c r="V221" s="249"/>
      <c r="W221" s="249">
        <v>3960</v>
      </c>
    </row>
    <row r="222" spans="1:23" s="1" customFormat="1">
      <c r="A222" s="122">
        <v>7</v>
      </c>
      <c r="B222" s="103" t="s">
        <v>34</v>
      </c>
      <c r="C222" s="104" t="s">
        <v>291</v>
      </c>
      <c r="D222" s="207">
        <f t="shared" si="26"/>
        <v>0</v>
      </c>
      <c r="E222" s="207">
        <f t="shared" si="27"/>
        <v>0</v>
      </c>
      <c r="F222" s="241">
        <v>0</v>
      </c>
      <c r="G222" s="135"/>
      <c r="H222" s="135"/>
      <c r="I222" s="135"/>
      <c r="J222" s="135"/>
      <c r="K222" s="207">
        <f t="shared" si="28"/>
        <v>0</v>
      </c>
      <c r="L222" s="252"/>
      <c r="M222" s="243"/>
      <c r="N222" s="244"/>
      <c r="O222" s="247"/>
      <c r="P222" s="246"/>
      <c r="Q222" s="250"/>
      <c r="R222" s="250"/>
      <c r="S222" s="250"/>
      <c r="T222" s="243"/>
      <c r="U222" s="250"/>
      <c r="V222" s="250"/>
      <c r="W222" s="250"/>
    </row>
    <row r="223" spans="1:23" s="1" customFormat="1">
      <c r="A223" s="122">
        <v>8</v>
      </c>
      <c r="B223" s="103" t="s">
        <v>34</v>
      </c>
      <c r="C223" s="104" t="s">
        <v>290</v>
      </c>
      <c r="D223" s="207">
        <f t="shared" si="26"/>
        <v>45000</v>
      </c>
      <c r="E223" s="207">
        <f t="shared" si="27"/>
        <v>45000</v>
      </c>
      <c r="F223" s="241">
        <v>45000</v>
      </c>
      <c r="G223" s="135"/>
      <c r="H223" s="135"/>
      <c r="I223" s="135"/>
      <c r="J223" s="135"/>
      <c r="K223" s="207">
        <f t="shared" si="28"/>
        <v>0</v>
      </c>
      <c r="L223" s="252"/>
      <c r="M223" s="243"/>
      <c r="N223" s="244"/>
      <c r="O223" s="250"/>
      <c r="P223" s="246"/>
      <c r="Q223" s="250"/>
      <c r="R223" s="250"/>
      <c r="S223" s="250"/>
      <c r="T223" s="243"/>
      <c r="U223" s="250"/>
      <c r="V223" s="250"/>
      <c r="W223" s="250"/>
    </row>
    <row r="224" spans="1:23" s="1" customFormat="1">
      <c r="A224" s="122">
        <v>9</v>
      </c>
      <c r="B224" s="103" t="s">
        <v>34</v>
      </c>
      <c r="C224" s="104" t="s">
        <v>292</v>
      </c>
      <c r="D224" s="207">
        <f t="shared" si="26"/>
        <v>60000</v>
      </c>
      <c r="E224" s="207">
        <f t="shared" si="27"/>
        <v>60000</v>
      </c>
      <c r="F224" s="241">
        <v>60000</v>
      </c>
      <c r="G224" s="135"/>
      <c r="H224" s="135"/>
      <c r="I224" s="135"/>
      <c r="J224" s="135"/>
      <c r="K224" s="207">
        <f t="shared" si="28"/>
        <v>0</v>
      </c>
      <c r="L224" s="252"/>
      <c r="M224" s="243"/>
      <c r="N224" s="244"/>
      <c r="O224" s="250"/>
      <c r="P224" s="253"/>
      <c r="Q224" s="250"/>
      <c r="R224" s="250"/>
      <c r="S224" s="250"/>
      <c r="T224" s="243"/>
      <c r="U224" s="250"/>
      <c r="V224" s="250"/>
      <c r="W224" s="250"/>
    </row>
    <row r="225" spans="1:51" s="1" customFormat="1" ht="33.75">
      <c r="A225" s="122">
        <v>10</v>
      </c>
      <c r="B225" s="103" t="s">
        <v>34</v>
      </c>
      <c r="C225" s="401" t="s">
        <v>346</v>
      </c>
      <c r="D225" s="207">
        <f t="shared" si="26"/>
        <v>19210</v>
      </c>
      <c r="E225" s="207">
        <f t="shared" si="27"/>
        <v>0</v>
      </c>
      <c r="F225" s="241"/>
      <c r="G225" s="135"/>
      <c r="H225" s="135"/>
      <c r="I225" s="135"/>
      <c r="J225" s="135"/>
      <c r="K225" s="207">
        <f t="shared" si="28"/>
        <v>19210</v>
      </c>
      <c r="L225" s="251"/>
      <c r="M225" s="243">
        <v>0</v>
      </c>
      <c r="N225" s="244"/>
      <c r="O225" s="249"/>
      <c r="P225" s="246">
        <v>0</v>
      </c>
      <c r="Q225" s="249"/>
      <c r="R225" s="249">
        <v>1050</v>
      </c>
      <c r="S225" s="247"/>
      <c r="T225" s="247">
        <v>11160</v>
      </c>
      <c r="U225" s="249">
        <v>7000</v>
      </c>
      <c r="V225" s="249"/>
      <c r="W225" s="249">
        <v>0</v>
      </c>
    </row>
    <row r="226" spans="1:51" s="1" customFormat="1">
      <c r="A226" s="122">
        <v>11</v>
      </c>
      <c r="B226" s="103" t="s">
        <v>34</v>
      </c>
      <c r="C226" s="401" t="s">
        <v>347</v>
      </c>
      <c r="D226" s="207">
        <f t="shared" si="26"/>
        <v>5100</v>
      </c>
      <c r="E226" s="207">
        <f t="shared" si="27"/>
        <v>0</v>
      </c>
      <c r="F226" s="241"/>
      <c r="G226" s="135"/>
      <c r="H226" s="135"/>
      <c r="I226" s="135"/>
      <c r="J226" s="135"/>
      <c r="K226" s="207">
        <f t="shared" si="28"/>
        <v>5100</v>
      </c>
      <c r="L226" s="242"/>
      <c r="M226" s="243">
        <v>0</v>
      </c>
      <c r="N226" s="244"/>
      <c r="O226" s="249"/>
      <c r="P226" s="246">
        <v>0</v>
      </c>
      <c r="Q226" s="245"/>
      <c r="R226" s="245"/>
      <c r="S226" s="247"/>
      <c r="T226" s="245"/>
      <c r="U226" s="245">
        <v>5100</v>
      </c>
      <c r="V226" s="245"/>
      <c r="W226" s="245">
        <v>0</v>
      </c>
    </row>
    <row r="227" spans="1:51" s="1" customFormat="1" ht="22.5">
      <c r="A227" s="122">
        <v>12</v>
      </c>
      <c r="B227" s="103" t="s">
        <v>34</v>
      </c>
      <c r="C227" s="488" t="s">
        <v>348</v>
      </c>
      <c r="D227" s="207">
        <f t="shared" si="26"/>
        <v>85190</v>
      </c>
      <c r="E227" s="207">
        <f t="shared" si="27"/>
        <v>0</v>
      </c>
      <c r="F227" s="241"/>
      <c r="G227" s="135"/>
      <c r="H227" s="135"/>
      <c r="I227" s="135"/>
      <c r="J227" s="135"/>
      <c r="K227" s="207">
        <f t="shared" si="28"/>
        <v>85190</v>
      </c>
      <c r="L227" s="252"/>
      <c r="M227" s="243">
        <v>10000</v>
      </c>
      <c r="N227" s="244"/>
      <c r="O227" s="247">
        <v>651</v>
      </c>
      <c r="P227" s="246">
        <v>0</v>
      </c>
      <c r="Q227" s="250"/>
      <c r="R227" s="250">
        <v>65489</v>
      </c>
      <c r="S227" s="247">
        <v>650</v>
      </c>
      <c r="T227" s="247">
        <v>1500</v>
      </c>
      <c r="U227" s="250"/>
      <c r="V227" s="250">
        <f>5380+1520</f>
        <v>6900</v>
      </c>
      <c r="W227" s="250">
        <v>0</v>
      </c>
    </row>
    <row r="228" spans="1:51" s="1" customFormat="1">
      <c r="A228" s="122">
        <v>13</v>
      </c>
      <c r="B228" s="103" t="s">
        <v>34</v>
      </c>
      <c r="C228" s="489" t="s">
        <v>93</v>
      </c>
      <c r="D228" s="207">
        <f t="shared" si="26"/>
        <v>40566</v>
      </c>
      <c r="E228" s="207">
        <f t="shared" si="27"/>
        <v>0</v>
      </c>
      <c r="F228" s="241"/>
      <c r="G228" s="135"/>
      <c r="H228" s="135"/>
      <c r="I228" s="135"/>
      <c r="J228" s="135"/>
      <c r="K228" s="207">
        <f t="shared" si="28"/>
        <v>40566</v>
      </c>
      <c r="L228" s="252">
        <v>1166</v>
      </c>
      <c r="M228" s="243">
        <v>7200</v>
      </c>
      <c r="N228" s="244"/>
      <c r="O228" s="247">
        <v>11160</v>
      </c>
      <c r="P228" s="246">
        <v>0</v>
      </c>
      <c r="Q228" s="250"/>
      <c r="R228" s="250">
        <v>3040</v>
      </c>
      <c r="S228" s="250"/>
      <c r="T228" s="243"/>
      <c r="U228" s="250">
        <v>18000</v>
      </c>
      <c r="V228" s="250"/>
      <c r="W228" s="250">
        <v>0</v>
      </c>
    </row>
    <row r="229" spans="1:51" s="1" customFormat="1">
      <c r="A229" s="122">
        <v>14</v>
      </c>
      <c r="B229" s="103" t="s">
        <v>34</v>
      </c>
      <c r="C229" s="489" t="s">
        <v>94</v>
      </c>
      <c r="D229" s="207">
        <f t="shared" si="26"/>
        <v>22000</v>
      </c>
      <c r="E229" s="207">
        <f t="shared" si="27"/>
        <v>0</v>
      </c>
      <c r="F229" s="241"/>
      <c r="G229" s="135"/>
      <c r="H229" s="135"/>
      <c r="I229" s="135"/>
      <c r="J229" s="135"/>
      <c r="K229" s="207">
        <f t="shared" si="28"/>
        <v>22000</v>
      </c>
      <c r="L229" s="252"/>
      <c r="M229" s="243">
        <v>10200</v>
      </c>
      <c r="N229" s="244"/>
      <c r="O229" s="247"/>
      <c r="P229" s="246">
        <v>0</v>
      </c>
      <c r="Q229" s="250"/>
      <c r="R229" s="250">
        <v>7600</v>
      </c>
      <c r="S229" s="250"/>
      <c r="T229" s="243"/>
      <c r="U229" s="250">
        <v>4200</v>
      </c>
      <c r="V229" s="250"/>
      <c r="W229" s="250">
        <v>0</v>
      </c>
    </row>
    <row r="230" spans="1:51" s="1" customFormat="1">
      <c r="A230" s="122">
        <v>15</v>
      </c>
      <c r="B230" s="103" t="s">
        <v>34</v>
      </c>
      <c r="C230" s="489" t="s">
        <v>349</v>
      </c>
      <c r="D230" s="207">
        <f t="shared" si="26"/>
        <v>12450</v>
      </c>
      <c r="E230" s="207">
        <f t="shared" si="27"/>
        <v>0</v>
      </c>
      <c r="F230" s="241"/>
      <c r="G230" s="135"/>
      <c r="H230" s="135"/>
      <c r="I230" s="135"/>
      <c r="J230" s="135"/>
      <c r="K230" s="207">
        <f t="shared" si="28"/>
        <v>12450</v>
      </c>
      <c r="L230" s="252"/>
      <c r="M230" s="243">
        <v>5000</v>
      </c>
      <c r="N230" s="244"/>
      <c r="O230" s="247"/>
      <c r="P230" s="246">
        <v>0</v>
      </c>
      <c r="Q230" s="250"/>
      <c r="R230" s="250"/>
      <c r="S230" s="250"/>
      <c r="T230" s="243"/>
      <c r="U230" s="250">
        <v>7450</v>
      </c>
      <c r="V230" s="250"/>
      <c r="W230" s="250">
        <v>0</v>
      </c>
    </row>
    <row r="231" spans="1:51" s="1" customFormat="1">
      <c r="A231" s="122">
        <v>16</v>
      </c>
      <c r="B231" s="103" t="s">
        <v>34</v>
      </c>
      <c r="C231" s="489" t="s">
        <v>350</v>
      </c>
      <c r="D231" s="207">
        <f t="shared" si="26"/>
        <v>22940</v>
      </c>
      <c r="E231" s="207">
        <f t="shared" si="27"/>
        <v>0</v>
      </c>
      <c r="F231" s="241"/>
      <c r="G231" s="135"/>
      <c r="H231" s="135"/>
      <c r="I231" s="135"/>
      <c r="J231" s="135"/>
      <c r="K231" s="207">
        <f t="shared" si="28"/>
        <v>22940</v>
      </c>
      <c r="L231" s="252"/>
      <c r="M231" s="243">
        <v>0</v>
      </c>
      <c r="N231" s="244">
        <v>3340</v>
      </c>
      <c r="O231" s="250"/>
      <c r="P231" s="246">
        <v>0</v>
      </c>
      <c r="Q231" s="250">
        <v>1180</v>
      </c>
      <c r="R231" s="250">
        <v>2000</v>
      </c>
      <c r="S231" s="250"/>
      <c r="T231" s="243"/>
      <c r="U231" s="250">
        <f>4300+6020</f>
        <v>10320</v>
      </c>
      <c r="V231" s="250"/>
      <c r="W231" s="250">
        <v>6100</v>
      </c>
    </row>
    <row r="232" spans="1:51" s="1" customFormat="1">
      <c r="A232" s="122">
        <v>17</v>
      </c>
      <c r="B232" s="103" t="s">
        <v>34</v>
      </c>
      <c r="C232" s="490" t="s">
        <v>213</v>
      </c>
      <c r="D232" s="207">
        <f t="shared" si="26"/>
        <v>11520</v>
      </c>
      <c r="E232" s="207">
        <f t="shared" si="27"/>
        <v>0</v>
      </c>
      <c r="F232" s="241"/>
      <c r="G232" s="135"/>
      <c r="H232" s="135"/>
      <c r="I232" s="135"/>
      <c r="J232" s="135"/>
      <c r="K232" s="207">
        <f t="shared" si="28"/>
        <v>11520</v>
      </c>
      <c r="L232" s="252"/>
      <c r="M232" s="243"/>
      <c r="N232" s="244"/>
      <c r="O232" s="250"/>
      <c r="P232" s="253">
        <v>11520</v>
      </c>
      <c r="Q232" s="250"/>
      <c r="R232" s="250"/>
      <c r="S232" s="250"/>
      <c r="T232" s="243"/>
      <c r="U232" s="250"/>
      <c r="V232" s="250"/>
      <c r="W232" s="250"/>
    </row>
    <row r="233" spans="1:51" s="1" customFormat="1">
      <c r="A233" s="122">
        <v>18</v>
      </c>
      <c r="B233" s="103" t="s">
        <v>34</v>
      </c>
      <c r="C233" s="490" t="s">
        <v>351</v>
      </c>
      <c r="D233" s="207">
        <f t="shared" si="26"/>
        <v>4176</v>
      </c>
      <c r="E233" s="207">
        <f t="shared" si="27"/>
        <v>0</v>
      </c>
      <c r="F233" s="241"/>
      <c r="G233" s="135"/>
      <c r="H233" s="135"/>
      <c r="I233" s="135"/>
      <c r="J233" s="135"/>
      <c r="K233" s="207">
        <f t="shared" si="28"/>
        <v>4176</v>
      </c>
      <c r="L233" s="252"/>
      <c r="M233" s="243"/>
      <c r="N233" s="244"/>
      <c r="O233" s="250"/>
      <c r="P233" s="253">
        <v>4176</v>
      </c>
      <c r="Q233" s="250"/>
      <c r="R233" s="250"/>
      <c r="S233" s="250"/>
      <c r="T233" s="243"/>
      <c r="U233" s="250"/>
      <c r="V233" s="250"/>
      <c r="W233" s="250"/>
    </row>
    <row r="234" spans="1:51" s="1" customFormat="1">
      <c r="A234" s="122">
        <v>19</v>
      </c>
      <c r="B234" s="103" t="s">
        <v>34</v>
      </c>
      <c r="C234" s="490" t="s">
        <v>352</v>
      </c>
      <c r="D234" s="207">
        <f t="shared" si="26"/>
        <v>2406</v>
      </c>
      <c r="E234" s="207">
        <f t="shared" si="27"/>
        <v>0</v>
      </c>
      <c r="F234" s="241"/>
      <c r="G234" s="135"/>
      <c r="H234" s="135"/>
      <c r="I234" s="135"/>
      <c r="J234" s="135"/>
      <c r="K234" s="207">
        <f t="shared" si="28"/>
        <v>2406</v>
      </c>
      <c r="L234" s="252"/>
      <c r="M234" s="243"/>
      <c r="N234" s="244"/>
      <c r="O234" s="250"/>
      <c r="P234" s="253">
        <v>2406</v>
      </c>
      <c r="Q234" s="250"/>
      <c r="R234" s="250"/>
      <c r="S234" s="250"/>
      <c r="T234" s="243"/>
      <c r="U234" s="250"/>
      <c r="V234" s="250"/>
      <c r="W234" s="250"/>
    </row>
    <row r="235" spans="1:51" s="35" customFormat="1" ht="10.5">
      <c r="A235" s="95">
        <v>5</v>
      </c>
      <c r="B235" s="94" t="s">
        <v>34</v>
      </c>
      <c r="C235" s="129" t="s">
        <v>236</v>
      </c>
      <c r="D235" s="130">
        <f t="shared" si="26"/>
        <v>13906693</v>
      </c>
      <c r="E235" s="130">
        <f t="shared" si="27"/>
        <v>1380070</v>
      </c>
      <c r="F235" s="96">
        <f>SUM(F236:F265)</f>
        <v>1380070</v>
      </c>
      <c r="G235" s="96">
        <f t="shared" ref="G235:W235" si="31">SUM(G236:G265)</f>
        <v>0</v>
      </c>
      <c r="H235" s="96">
        <f t="shared" si="31"/>
        <v>0</v>
      </c>
      <c r="I235" s="96">
        <f t="shared" si="31"/>
        <v>0</v>
      </c>
      <c r="J235" s="96">
        <f t="shared" si="31"/>
        <v>0</v>
      </c>
      <c r="K235" s="130">
        <f t="shared" si="28"/>
        <v>12526623</v>
      </c>
      <c r="L235" s="96">
        <f t="shared" si="31"/>
        <v>2883203</v>
      </c>
      <c r="M235" s="96">
        <f t="shared" si="31"/>
        <v>765010</v>
      </c>
      <c r="N235" s="96">
        <f t="shared" si="31"/>
        <v>979411</v>
      </c>
      <c r="O235" s="96">
        <f t="shared" si="31"/>
        <v>1408906</v>
      </c>
      <c r="P235" s="96">
        <f t="shared" si="31"/>
        <v>1531770</v>
      </c>
      <c r="Q235" s="96">
        <f t="shared" si="31"/>
        <v>777261</v>
      </c>
      <c r="R235" s="96">
        <f t="shared" si="31"/>
        <v>1011700</v>
      </c>
      <c r="S235" s="96">
        <f t="shared" si="31"/>
        <v>386042</v>
      </c>
      <c r="T235" s="96">
        <f t="shared" si="31"/>
        <v>1077501</v>
      </c>
      <c r="U235" s="96">
        <f t="shared" si="31"/>
        <v>600340</v>
      </c>
      <c r="V235" s="96">
        <f t="shared" si="31"/>
        <v>568696</v>
      </c>
      <c r="W235" s="96">
        <f t="shared" si="31"/>
        <v>536783</v>
      </c>
    </row>
    <row r="236" spans="1:51" s="258" customFormat="1" ht="22.5">
      <c r="A236" s="234">
        <v>1</v>
      </c>
      <c r="B236" s="121" t="s">
        <v>34</v>
      </c>
      <c r="C236" s="254" t="s">
        <v>233</v>
      </c>
      <c r="D236" s="51">
        <f t="shared" si="26"/>
        <v>720390</v>
      </c>
      <c r="E236" s="51">
        <f t="shared" si="27"/>
        <v>0</v>
      </c>
      <c r="F236" s="152">
        <v>0</v>
      </c>
      <c r="G236" s="135"/>
      <c r="H236" s="135"/>
      <c r="I236" s="135"/>
      <c r="J236" s="135"/>
      <c r="K236" s="51">
        <f t="shared" si="28"/>
        <v>720390</v>
      </c>
      <c r="L236" s="255">
        <v>119800</v>
      </c>
      <c r="M236" s="135">
        <v>30000</v>
      </c>
      <c r="N236" s="152">
        <v>70816</v>
      </c>
      <c r="O236" s="152">
        <v>86200</v>
      </c>
      <c r="P236" s="163">
        <v>80044</v>
      </c>
      <c r="Q236" s="152">
        <v>52796</v>
      </c>
      <c r="R236" s="152">
        <v>99600</v>
      </c>
      <c r="S236" s="152">
        <v>55834</v>
      </c>
      <c r="T236" s="152">
        <v>72320</v>
      </c>
      <c r="U236" s="152">
        <v>18100</v>
      </c>
      <c r="V236" s="152">
        <v>22280</v>
      </c>
      <c r="W236" s="256">
        <v>12600</v>
      </c>
      <c r="X236" s="257"/>
      <c r="Y236" s="257"/>
      <c r="Z236" s="257"/>
      <c r="AA236" s="257"/>
      <c r="AB236" s="257"/>
      <c r="AC236" s="257"/>
      <c r="AD236" s="257"/>
      <c r="AE236" s="257"/>
      <c r="AF236" s="257"/>
      <c r="AG236" s="257"/>
      <c r="AH236" s="257"/>
      <c r="AI236" s="257"/>
      <c r="AJ236" s="257"/>
      <c r="AK236" s="257"/>
      <c r="AL236" s="257"/>
      <c r="AM236" s="257"/>
      <c r="AN236" s="257"/>
      <c r="AO236" s="257"/>
      <c r="AP236" s="257"/>
      <c r="AQ236" s="257"/>
      <c r="AR236" s="257"/>
      <c r="AS236" s="257"/>
      <c r="AT236" s="257"/>
      <c r="AU236" s="257"/>
      <c r="AV236" s="257"/>
      <c r="AW236" s="257"/>
      <c r="AX236" s="257"/>
      <c r="AY236" s="257"/>
    </row>
    <row r="237" spans="1:51" s="258" customFormat="1">
      <c r="A237" s="234">
        <v>2</v>
      </c>
      <c r="B237" s="121" t="s">
        <v>34</v>
      </c>
      <c r="C237" s="254" t="s">
        <v>452</v>
      </c>
      <c r="D237" s="51">
        <f t="shared" si="26"/>
        <v>67800</v>
      </c>
      <c r="E237" s="51">
        <f t="shared" si="27"/>
        <v>0</v>
      </c>
      <c r="F237" s="152">
        <v>0</v>
      </c>
      <c r="G237" s="135"/>
      <c r="H237" s="135"/>
      <c r="I237" s="135"/>
      <c r="J237" s="135"/>
      <c r="K237" s="51">
        <f t="shared" si="28"/>
        <v>67800</v>
      </c>
      <c r="L237" s="255">
        <v>0</v>
      </c>
      <c r="M237" s="135">
        <v>7200</v>
      </c>
      <c r="N237" s="152"/>
      <c r="O237" s="152">
        <v>0</v>
      </c>
      <c r="P237" s="152">
        <v>0</v>
      </c>
      <c r="Q237" s="152"/>
      <c r="R237" s="152">
        <v>33600</v>
      </c>
      <c r="S237" s="152">
        <v>0</v>
      </c>
      <c r="T237" s="152">
        <v>9000</v>
      </c>
      <c r="U237" s="152">
        <v>18000</v>
      </c>
      <c r="V237" s="152"/>
      <c r="W237" s="256">
        <v>0</v>
      </c>
      <c r="X237" s="257"/>
      <c r="Y237" s="257"/>
      <c r="Z237" s="257"/>
      <c r="AA237" s="257"/>
      <c r="AB237" s="257"/>
      <c r="AC237" s="257"/>
      <c r="AD237" s="257"/>
      <c r="AE237" s="257"/>
      <c r="AF237" s="257"/>
      <c r="AG237" s="257"/>
      <c r="AH237" s="257"/>
      <c r="AI237" s="257"/>
      <c r="AJ237" s="257"/>
      <c r="AK237" s="257"/>
      <c r="AL237" s="257"/>
      <c r="AM237" s="257"/>
      <c r="AN237" s="257"/>
      <c r="AO237" s="257"/>
      <c r="AP237" s="257"/>
      <c r="AQ237" s="257"/>
      <c r="AR237" s="257"/>
      <c r="AS237" s="257"/>
      <c r="AT237" s="257"/>
      <c r="AU237" s="257"/>
      <c r="AV237" s="257"/>
      <c r="AW237" s="257"/>
      <c r="AX237" s="257"/>
      <c r="AY237" s="257"/>
    </row>
    <row r="238" spans="1:51" s="258" customFormat="1">
      <c r="A238" s="234">
        <v>3</v>
      </c>
      <c r="B238" s="121" t="s">
        <v>34</v>
      </c>
      <c r="C238" s="259" t="s">
        <v>453</v>
      </c>
      <c r="D238" s="51">
        <f t="shared" si="26"/>
        <v>245442</v>
      </c>
      <c r="E238" s="51">
        <f t="shared" si="27"/>
        <v>40000</v>
      </c>
      <c r="F238" s="152">
        <v>40000</v>
      </c>
      <c r="G238" s="135"/>
      <c r="H238" s="135"/>
      <c r="I238" s="135"/>
      <c r="J238" s="135"/>
      <c r="K238" s="51">
        <f t="shared" si="28"/>
        <v>205442</v>
      </c>
      <c r="L238" s="255">
        <v>22500</v>
      </c>
      <c r="M238" s="135">
        <v>8000</v>
      </c>
      <c r="N238" s="152">
        <v>24700</v>
      </c>
      <c r="O238" s="152">
        <v>7800</v>
      </c>
      <c r="P238" s="152">
        <v>8100</v>
      </c>
      <c r="Q238" s="152">
        <v>8280</v>
      </c>
      <c r="R238" s="152">
        <v>47000</v>
      </c>
      <c r="S238" s="152">
        <v>22302</v>
      </c>
      <c r="T238" s="152">
        <v>31300</v>
      </c>
      <c r="U238" s="152">
        <v>9800</v>
      </c>
      <c r="V238" s="152">
        <v>7200</v>
      </c>
      <c r="W238" s="256">
        <v>8460</v>
      </c>
      <c r="X238" s="257"/>
      <c r="Y238" s="257"/>
      <c r="Z238" s="257"/>
      <c r="AA238" s="257"/>
      <c r="AB238" s="257"/>
      <c r="AC238" s="257"/>
      <c r="AD238" s="257"/>
      <c r="AE238" s="257"/>
      <c r="AF238" s="257"/>
      <c r="AG238" s="257"/>
      <c r="AH238" s="257"/>
      <c r="AI238" s="257"/>
      <c r="AJ238" s="257"/>
      <c r="AK238" s="257"/>
      <c r="AL238" s="257"/>
      <c r="AM238" s="257"/>
      <c r="AN238" s="257"/>
      <c r="AO238" s="257"/>
      <c r="AP238" s="257"/>
      <c r="AQ238" s="257"/>
      <c r="AR238" s="257"/>
      <c r="AS238" s="257"/>
      <c r="AT238" s="257"/>
      <c r="AU238" s="257"/>
      <c r="AV238" s="257"/>
      <c r="AW238" s="257"/>
      <c r="AX238" s="257"/>
      <c r="AY238" s="257"/>
    </row>
    <row r="239" spans="1:51" s="258" customFormat="1">
      <c r="A239" s="234">
        <v>4</v>
      </c>
      <c r="B239" s="121" t="s">
        <v>34</v>
      </c>
      <c r="C239" s="259" t="s">
        <v>95</v>
      </c>
      <c r="D239" s="51">
        <f t="shared" si="26"/>
        <v>139800</v>
      </c>
      <c r="E239" s="51">
        <f t="shared" si="27"/>
        <v>0</v>
      </c>
      <c r="F239" s="152">
        <v>0</v>
      </c>
      <c r="G239" s="135"/>
      <c r="H239" s="135"/>
      <c r="I239" s="135"/>
      <c r="J239" s="135"/>
      <c r="K239" s="51">
        <f t="shared" si="28"/>
        <v>139800</v>
      </c>
      <c r="L239" s="255">
        <v>19200</v>
      </c>
      <c r="M239" s="135">
        <v>9600</v>
      </c>
      <c r="N239" s="152"/>
      <c r="O239" s="152">
        <v>20400</v>
      </c>
      <c r="P239" s="163">
        <v>19200</v>
      </c>
      <c r="Q239" s="152"/>
      <c r="R239" s="152">
        <v>33600</v>
      </c>
      <c r="S239" s="152">
        <v>0</v>
      </c>
      <c r="T239" s="152">
        <v>9000</v>
      </c>
      <c r="U239" s="152">
        <v>18000</v>
      </c>
      <c r="V239" s="152">
        <v>10800</v>
      </c>
      <c r="W239" s="256">
        <v>0</v>
      </c>
      <c r="X239" s="257"/>
      <c r="Y239" s="257"/>
      <c r="Z239" s="257"/>
      <c r="AA239" s="257"/>
      <c r="AB239" s="257"/>
      <c r="AC239" s="257"/>
      <c r="AD239" s="257"/>
      <c r="AE239" s="257"/>
      <c r="AF239" s="257"/>
      <c r="AG239" s="257"/>
      <c r="AH239" s="257"/>
      <c r="AI239" s="257"/>
      <c r="AJ239" s="257"/>
      <c r="AK239" s="257"/>
      <c r="AL239" s="257"/>
      <c r="AM239" s="257"/>
      <c r="AN239" s="257"/>
      <c r="AO239" s="257"/>
      <c r="AP239" s="257"/>
      <c r="AQ239" s="257"/>
      <c r="AR239" s="257"/>
      <c r="AS239" s="257"/>
      <c r="AT239" s="257"/>
      <c r="AU239" s="257"/>
      <c r="AV239" s="257"/>
      <c r="AW239" s="257"/>
      <c r="AX239" s="257"/>
      <c r="AY239" s="257"/>
    </row>
    <row r="240" spans="1:51" s="261" customFormat="1" ht="22.5">
      <c r="A240" s="234">
        <v>5</v>
      </c>
      <c r="B240" s="121" t="s">
        <v>34</v>
      </c>
      <c r="C240" s="254" t="s">
        <v>454</v>
      </c>
      <c r="D240" s="51">
        <f t="shared" si="26"/>
        <v>509658</v>
      </c>
      <c r="E240" s="51">
        <f t="shared" si="27"/>
        <v>100000</v>
      </c>
      <c r="F240" s="152">
        <v>100000</v>
      </c>
      <c r="G240" s="110"/>
      <c r="H240" s="110"/>
      <c r="I240" s="110"/>
      <c r="J240" s="110"/>
      <c r="K240" s="51">
        <f t="shared" si="28"/>
        <v>409658</v>
      </c>
      <c r="L240" s="255">
        <v>11195</v>
      </c>
      <c r="M240" s="110">
        <v>20000</v>
      </c>
      <c r="N240" s="152"/>
      <c r="O240" s="152">
        <v>14240</v>
      </c>
      <c r="P240" s="163">
        <v>5120</v>
      </c>
      <c r="Q240" s="152">
        <v>16272</v>
      </c>
      <c r="R240" s="152">
        <v>25000</v>
      </c>
      <c r="S240" s="152">
        <v>186831</v>
      </c>
      <c r="T240" s="152">
        <v>25000</v>
      </c>
      <c r="U240" s="152">
        <v>34000</v>
      </c>
      <c r="V240" s="152">
        <v>36000</v>
      </c>
      <c r="W240" s="256">
        <v>36000</v>
      </c>
      <c r="X240" s="260"/>
      <c r="Y240" s="260"/>
      <c r="Z240" s="260"/>
      <c r="AA240" s="260"/>
      <c r="AB240" s="260"/>
      <c r="AC240" s="260"/>
      <c r="AD240" s="260"/>
      <c r="AE240" s="260"/>
      <c r="AF240" s="260"/>
      <c r="AG240" s="260"/>
      <c r="AH240" s="260"/>
      <c r="AI240" s="260"/>
      <c r="AJ240" s="260"/>
      <c r="AK240" s="260"/>
      <c r="AL240" s="260"/>
      <c r="AM240" s="260"/>
      <c r="AN240" s="260"/>
      <c r="AO240" s="260"/>
      <c r="AP240" s="260"/>
      <c r="AQ240" s="260"/>
      <c r="AR240" s="260"/>
      <c r="AS240" s="260"/>
      <c r="AT240" s="260"/>
      <c r="AU240" s="260"/>
      <c r="AV240" s="260"/>
      <c r="AW240" s="260"/>
      <c r="AX240" s="260"/>
      <c r="AY240" s="260"/>
    </row>
    <row r="241" spans="1:57" s="261" customFormat="1">
      <c r="A241" s="234">
        <v>6</v>
      </c>
      <c r="B241" s="121" t="s">
        <v>34</v>
      </c>
      <c r="C241" s="254" t="s">
        <v>455</v>
      </c>
      <c r="D241" s="51">
        <f t="shared" si="26"/>
        <v>43600</v>
      </c>
      <c r="E241" s="51">
        <f t="shared" si="27"/>
        <v>38000</v>
      </c>
      <c r="F241" s="152">
        <v>38000</v>
      </c>
      <c r="G241" s="110"/>
      <c r="H241" s="110"/>
      <c r="I241" s="110"/>
      <c r="J241" s="110"/>
      <c r="K241" s="51">
        <f t="shared" si="28"/>
        <v>5600</v>
      </c>
      <c r="L241" s="255">
        <v>0</v>
      </c>
      <c r="M241" s="110">
        <v>0</v>
      </c>
      <c r="N241" s="152"/>
      <c r="O241" s="152">
        <v>5600</v>
      </c>
      <c r="P241" s="152">
        <v>0</v>
      </c>
      <c r="Q241" s="152"/>
      <c r="S241" s="152"/>
      <c r="T241" s="152">
        <v>0</v>
      </c>
      <c r="U241" s="152"/>
      <c r="V241" s="152"/>
      <c r="W241" s="256">
        <v>0</v>
      </c>
      <c r="X241" s="260"/>
      <c r="Y241" s="260"/>
      <c r="Z241" s="260"/>
      <c r="AA241" s="260"/>
      <c r="AB241" s="260"/>
      <c r="AC241" s="260"/>
      <c r="AD241" s="260"/>
      <c r="AE241" s="260"/>
      <c r="AF241" s="260"/>
      <c r="AG241" s="260"/>
      <c r="AH241" s="260"/>
      <c r="AI241" s="260"/>
      <c r="AJ241" s="260"/>
      <c r="AK241" s="260"/>
      <c r="AL241" s="260"/>
      <c r="AM241" s="260"/>
      <c r="AN241" s="260"/>
      <c r="AO241" s="260"/>
      <c r="AP241" s="260"/>
      <c r="AQ241" s="260"/>
      <c r="AR241" s="260"/>
      <c r="AS241" s="260"/>
      <c r="AT241" s="260"/>
      <c r="AU241" s="260"/>
      <c r="AV241" s="260"/>
      <c r="AW241" s="260"/>
      <c r="AX241" s="260"/>
      <c r="AY241" s="260"/>
    </row>
    <row r="242" spans="1:57" s="261" customFormat="1">
      <c r="A242" s="234">
        <v>7</v>
      </c>
      <c r="B242" s="121" t="s">
        <v>34</v>
      </c>
      <c r="C242" s="254" t="s">
        <v>97</v>
      </c>
      <c r="D242" s="51">
        <f t="shared" si="26"/>
        <v>9810</v>
      </c>
      <c r="E242" s="51">
        <f t="shared" si="27"/>
        <v>2000</v>
      </c>
      <c r="F242" s="152">
        <v>2000</v>
      </c>
      <c r="G242" s="110"/>
      <c r="H242" s="110"/>
      <c r="I242" s="110"/>
      <c r="J242" s="110"/>
      <c r="K242" s="51">
        <f t="shared" si="28"/>
        <v>7810</v>
      </c>
      <c r="L242" s="255">
        <v>0</v>
      </c>
      <c r="M242" s="110">
        <v>1000</v>
      </c>
      <c r="N242" s="152">
        <v>900</v>
      </c>
      <c r="O242" s="152">
        <v>0</v>
      </c>
      <c r="P242" s="163">
        <v>1000</v>
      </c>
      <c r="Q242" s="152"/>
      <c r="R242" s="152">
        <v>3000</v>
      </c>
      <c r="S242" s="152"/>
      <c r="T242" s="152">
        <v>1910</v>
      </c>
      <c r="U242" s="152"/>
      <c r="V242" s="152"/>
      <c r="W242" s="256">
        <v>0</v>
      </c>
      <c r="X242" s="260"/>
      <c r="Y242" s="260"/>
      <c r="Z242" s="260"/>
      <c r="AA242" s="260"/>
      <c r="AB242" s="260"/>
      <c r="AC242" s="260"/>
      <c r="AD242" s="260"/>
      <c r="AE242" s="260"/>
      <c r="AF242" s="260"/>
      <c r="AG242" s="260"/>
      <c r="AH242" s="260"/>
      <c r="AI242" s="260"/>
      <c r="AJ242" s="260"/>
      <c r="AK242" s="260"/>
      <c r="AL242" s="260"/>
      <c r="AM242" s="260"/>
      <c r="AN242" s="260"/>
      <c r="AO242" s="260"/>
      <c r="AP242" s="260"/>
      <c r="AQ242" s="260"/>
      <c r="AR242" s="260"/>
      <c r="AS242" s="260"/>
      <c r="AT242" s="260"/>
      <c r="AU242" s="260"/>
      <c r="AV242" s="260"/>
      <c r="AW242" s="260"/>
      <c r="AX242" s="260"/>
      <c r="AY242" s="260"/>
    </row>
    <row r="243" spans="1:57" s="261" customFormat="1">
      <c r="A243" s="234">
        <v>8</v>
      </c>
      <c r="B243" s="121" t="s">
        <v>34</v>
      </c>
      <c r="C243" s="254" t="s">
        <v>98</v>
      </c>
      <c r="D243" s="51">
        <f t="shared" si="26"/>
        <v>375288</v>
      </c>
      <c r="E243" s="51">
        <f t="shared" si="27"/>
        <v>0</v>
      </c>
      <c r="F243" s="152">
        <v>0</v>
      </c>
      <c r="G243" s="110"/>
      <c r="H243" s="110"/>
      <c r="I243" s="110"/>
      <c r="J243" s="110"/>
      <c r="K243" s="51">
        <f t="shared" si="28"/>
        <v>375288</v>
      </c>
      <c r="L243" s="255">
        <v>36415</v>
      </c>
      <c r="M243" s="110">
        <v>20000</v>
      </c>
      <c r="N243" s="152">
        <v>26000</v>
      </c>
      <c r="O243" s="152">
        <v>45000</v>
      </c>
      <c r="P243" s="152">
        <v>38500</v>
      </c>
      <c r="Q243" s="152">
        <v>19448</v>
      </c>
      <c r="R243" s="152">
        <v>51000</v>
      </c>
      <c r="S243" s="152">
        <v>29325</v>
      </c>
      <c r="T243" s="152">
        <v>60000</v>
      </c>
      <c r="U243" s="152">
        <v>20000</v>
      </c>
      <c r="V243" s="152">
        <v>20000</v>
      </c>
      <c r="W243" s="256">
        <v>9600</v>
      </c>
      <c r="X243" s="260"/>
      <c r="Y243" s="260"/>
      <c r="Z243" s="260"/>
      <c r="AA243" s="260"/>
      <c r="AB243" s="260"/>
      <c r="AC243" s="260"/>
      <c r="AD243" s="260"/>
      <c r="AE243" s="260"/>
      <c r="AF243" s="260"/>
      <c r="AG243" s="260"/>
      <c r="AH243" s="260"/>
      <c r="AI243" s="260"/>
      <c r="AJ243" s="260"/>
      <c r="AK243" s="260"/>
      <c r="AL243" s="260"/>
      <c r="AM243" s="260"/>
      <c r="AN243" s="260"/>
      <c r="AO243" s="260"/>
      <c r="AP243" s="260"/>
      <c r="AQ243" s="260"/>
      <c r="AR243" s="260"/>
      <c r="AS243" s="260"/>
      <c r="AT243" s="260"/>
      <c r="AU243" s="260"/>
      <c r="AV243" s="260"/>
      <c r="AW243" s="260"/>
      <c r="AX243" s="260"/>
      <c r="AY243" s="260"/>
    </row>
    <row r="244" spans="1:57" s="264" customFormat="1">
      <c r="A244" s="234">
        <v>9</v>
      </c>
      <c r="B244" s="121" t="s">
        <v>34</v>
      </c>
      <c r="C244" s="262" t="s">
        <v>204</v>
      </c>
      <c r="D244" s="51">
        <f t="shared" si="26"/>
        <v>207500</v>
      </c>
      <c r="E244" s="51">
        <f t="shared" si="27"/>
        <v>0</v>
      </c>
      <c r="F244" s="152">
        <v>0</v>
      </c>
      <c r="G244" s="110"/>
      <c r="H244" s="110"/>
      <c r="I244" s="110"/>
      <c r="J244" s="110"/>
      <c r="K244" s="51">
        <f t="shared" si="28"/>
        <v>207500</v>
      </c>
      <c r="L244" s="136">
        <v>10000</v>
      </c>
      <c r="M244" s="110">
        <v>50000</v>
      </c>
      <c r="N244" s="152">
        <v>20000</v>
      </c>
      <c r="O244" s="152">
        <v>17000</v>
      </c>
      <c r="P244" s="152">
        <v>10000</v>
      </c>
      <c r="Q244" s="152"/>
      <c r="R244" s="152">
        <v>25000</v>
      </c>
      <c r="S244" s="152">
        <v>5000</v>
      </c>
      <c r="T244" s="110">
        <v>10000</v>
      </c>
      <c r="U244" s="152">
        <v>20000</v>
      </c>
      <c r="V244" s="152">
        <v>20000</v>
      </c>
      <c r="W244" s="256">
        <v>20500</v>
      </c>
      <c r="X244" s="263"/>
      <c r="Y244" s="263"/>
      <c r="Z244" s="263"/>
      <c r="AA244" s="263"/>
      <c r="AB244" s="263"/>
      <c r="AC244" s="263"/>
      <c r="AD244" s="263"/>
      <c r="AE244" s="263"/>
      <c r="AF244" s="263"/>
      <c r="AG244" s="263"/>
      <c r="AH244" s="263"/>
      <c r="AI244" s="263"/>
      <c r="AJ244" s="263"/>
      <c r="AK244" s="263"/>
      <c r="AL244" s="263"/>
      <c r="AM244" s="263"/>
      <c r="AN244" s="263"/>
      <c r="AO244" s="263"/>
      <c r="AP244" s="263"/>
      <c r="AQ244" s="263"/>
      <c r="AR244" s="263"/>
      <c r="AS244" s="263"/>
      <c r="AT244" s="263"/>
      <c r="AU244" s="263"/>
      <c r="AV244" s="263"/>
      <c r="AW244" s="263"/>
      <c r="AX244" s="263"/>
      <c r="AY244" s="263"/>
    </row>
    <row r="245" spans="1:57" s="264" customFormat="1">
      <c r="A245" s="234">
        <v>10</v>
      </c>
      <c r="B245" s="121" t="s">
        <v>34</v>
      </c>
      <c r="C245" s="265" t="s">
        <v>214</v>
      </c>
      <c r="D245" s="51">
        <f t="shared" si="26"/>
        <v>540000</v>
      </c>
      <c r="E245" s="51">
        <f t="shared" si="27"/>
        <v>0</v>
      </c>
      <c r="F245" s="152">
        <v>0</v>
      </c>
      <c r="G245" s="110"/>
      <c r="H245" s="110"/>
      <c r="I245" s="110"/>
      <c r="J245" s="110"/>
      <c r="K245" s="51">
        <f t="shared" si="28"/>
        <v>540000</v>
      </c>
      <c r="L245" s="110">
        <v>200000</v>
      </c>
      <c r="M245" s="110">
        <v>0</v>
      </c>
      <c r="N245" s="145"/>
      <c r="O245" s="152">
        <v>120000</v>
      </c>
      <c r="P245" s="163">
        <v>120000</v>
      </c>
      <c r="Q245" s="152"/>
      <c r="R245" s="152"/>
      <c r="S245" s="110"/>
      <c r="T245" s="110">
        <v>100000</v>
      </c>
      <c r="U245" s="152"/>
      <c r="V245" s="152"/>
      <c r="W245" s="256">
        <v>0</v>
      </c>
      <c r="X245" s="263"/>
      <c r="Y245" s="263"/>
      <c r="Z245" s="263"/>
      <c r="AA245" s="263"/>
      <c r="AB245" s="263"/>
      <c r="AC245" s="263"/>
      <c r="AD245" s="263"/>
      <c r="AE245" s="263"/>
      <c r="AF245" s="263"/>
      <c r="AG245" s="263"/>
      <c r="AH245" s="263"/>
      <c r="AI245" s="263"/>
      <c r="AJ245" s="263"/>
      <c r="AK245" s="263"/>
      <c r="AL245" s="263"/>
      <c r="AM245" s="263"/>
      <c r="AN245" s="263"/>
      <c r="AO245" s="263"/>
      <c r="AP245" s="263"/>
      <c r="AQ245" s="263"/>
      <c r="AR245" s="263"/>
      <c r="AS245" s="263"/>
      <c r="AT245" s="263"/>
      <c r="AU245" s="263"/>
      <c r="AV245" s="263"/>
      <c r="AW245" s="263"/>
      <c r="AX245" s="263"/>
      <c r="AY245" s="263"/>
    </row>
    <row r="246" spans="1:57" s="264" customFormat="1">
      <c r="A246" s="234">
        <v>11</v>
      </c>
      <c r="B246" s="121" t="s">
        <v>34</v>
      </c>
      <c r="C246" s="106" t="s">
        <v>290</v>
      </c>
      <c r="D246" s="51">
        <f t="shared" si="26"/>
        <v>13500</v>
      </c>
      <c r="E246" s="51">
        <f t="shared" si="27"/>
        <v>0</v>
      </c>
      <c r="F246" s="152">
        <v>0</v>
      </c>
      <c r="G246" s="110"/>
      <c r="H246" s="110"/>
      <c r="I246" s="110"/>
      <c r="J246" s="110"/>
      <c r="K246" s="51">
        <f t="shared" si="28"/>
        <v>13500</v>
      </c>
      <c r="L246" s="110"/>
      <c r="M246" s="110"/>
      <c r="N246" s="145"/>
      <c r="O246" s="152">
        <v>0</v>
      </c>
      <c r="P246" s="163"/>
      <c r="Q246" s="152"/>
      <c r="R246" s="152">
        <v>10000</v>
      </c>
      <c r="S246" s="110"/>
      <c r="T246" s="110"/>
      <c r="U246" s="152"/>
      <c r="V246" s="152">
        <v>3500</v>
      </c>
      <c r="W246" s="256">
        <v>0</v>
      </c>
      <c r="X246" s="263"/>
      <c r="Y246" s="263"/>
      <c r="Z246" s="263"/>
      <c r="AA246" s="263"/>
      <c r="AB246" s="263"/>
      <c r="AC246" s="263"/>
      <c r="AD246" s="263"/>
      <c r="AE246" s="263"/>
      <c r="AF246" s="263"/>
      <c r="AG246" s="263"/>
      <c r="AH246" s="263"/>
      <c r="AI246" s="263"/>
      <c r="AJ246" s="263"/>
      <c r="AK246" s="263"/>
      <c r="AL246" s="263"/>
      <c r="AM246" s="263"/>
      <c r="AN246" s="263"/>
      <c r="AO246" s="263"/>
      <c r="AP246" s="263"/>
      <c r="AQ246" s="263"/>
      <c r="AR246" s="263"/>
      <c r="AS246" s="263"/>
      <c r="AT246" s="263"/>
      <c r="AU246" s="263"/>
      <c r="AV246" s="263"/>
      <c r="AW246" s="263"/>
      <c r="AX246" s="263"/>
      <c r="AY246" s="263"/>
    </row>
    <row r="247" spans="1:57" s="266" customFormat="1">
      <c r="A247" s="234">
        <v>12</v>
      </c>
      <c r="B247" s="121" t="s">
        <v>34</v>
      </c>
      <c r="C247" s="104" t="s">
        <v>456</v>
      </c>
      <c r="D247" s="51">
        <f t="shared" si="26"/>
        <v>6720085</v>
      </c>
      <c r="E247" s="51">
        <f t="shared" si="27"/>
        <v>394070</v>
      </c>
      <c r="F247" s="152">
        <v>394070</v>
      </c>
      <c r="G247" s="110"/>
      <c r="H247" s="110"/>
      <c r="I247" s="110"/>
      <c r="J247" s="110"/>
      <c r="K247" s="51">
        <f t="shared" si="28"/>
        <v>6326015</v>
      </c>
      <c r="L247" s="110">
        <v>2006566</v>
      </c>
      <c r="M247" s="110">
        <v>330210</v>
      </c>
      <c r="N247" s="145">
        <v>567000</v>
      </c>
      <c r="O247" s="152">
        <v>932501</v>
      </c>
      <c r="P247" s="163">
        <v>761493</v>
      </c>
      <c r="Q247" s="152">
        <v>513670</v>
      </c>
      <c r="R247" s="152">
        <v>168000</v>
      </c>
      <c r="S247" s="110"/>
      <c r="T247" s="110">
        <v>472188</v>
      </c>
      <c r="U247" s="152">
        <v>258650</v>
      </c>
      <c r="V247" s="152">
        <v>291850</v>
      </c>
      <c r="W247" s="256">
        <v>23887</v>
      </c>
      <c r="X247" s="263"/>
      <c r="Y247" s="263"/>
      <c r="Z247" s="263"/>
      <c r="AA247" s="263"/>
      <c r="AB247" s="263"/>
      <c r="AC247" s="263"/>
      <c r="AD247" s="263"/>
      <c r="AE247" s="263"/>
      <c r="AF247" s="263"/>
      <c r="AG247" s="263"/>
      <c r="AH247" s="263"/>
      <c r="AI247" s="263"/>
      <c r="AJ247" s="263"/>
      <c r="AK247" s="263"/>
      <c r="AL247" s="263"/>
      <c r="AM247" s="263"/>
      <c r="AN247" s="263"/>
      <c r="AO247" s="263"/>
      <c r="AP247" s="263"/>
      <c r="AQ247" s="263"/>
      <c r="AR247" s="263"/>
      <c r="AS247" s="263"/>
      <c r="AT247" s="263"/>
      <c r="AU247" s="263"/>
      <c r="AV247" s="263"/>
      <c r="AW247" s="263"/>
      <c r="AX247" s="263"/>
      <c r="AY247" s="263"/>
      <c r="AZ247" s="264"/>
      <c r="BA247" s="264"/>
      <c r="BB247" s="264"/>
      <c r="BC247" s="264"/>
      <c r="BD247" s="264"/>
      <c r="BE247" s="264"/>
    </row>
    <row r="248" spans="1:57" s="266" customFormat="1">
      <c r="A248" s="234">
        <v>13</v>
      </c>
      <c r="B248" s="121" t="s">
        <v>34</v>
      </c>
      <c r="C248" s="106" t="s">
        <v>457</v>
      </c>
      <c r="D248" s="51">
        <f t="shared" si="26"/>
        <v>1017334</v>
      </c>
      <c r="E248" s="51">
        <f t="shared" si="27"/>
        <v>0</v>
      </c>
      <c r="F248" s="152">
        <v>0</v>
      </c>
      <c r="G248" s="110"/>
      <c r="H248" s="110"/>
      <c r="I248" s="110"/>
      <c r="J248" s="110"/>
      <c r="K248" s="51">
        <f t="shared" si="28"/>
        <v>1017334</v>
      </c>
      <c r="L248" s="110">
        <v>85027</v>
      </c>
      <c r="M248" s="110">
        <v>50000</v>
      </c>
      <c r="N248" s="145">
        <v>116995</v>
      </c>
      <c r="O248" s="152"/>
      <c r="P248" s="163">
        <v>142133</v>
      </c>
      <c r="Q248" s="152">
        <v>56595</v>
      </c>
      <c r="R248" s="152"/>
      <c r="S248" s="110"/>
      <c r="T248" s="110">
        <v>121888</v>
      </c>
      <c r="U248" s="152">
        <v>72390</v>
      </c>
      <c r="V248" s="152">
        <v>40650</v>
      </c>
      <c r="W248" s="256">
        <v>331656</v>
      </c>
      <c r="X248" s="263"/>
      <c r="Y248" s="263"/>
      <c r="Z248" s="263"/>
      <c r="AA248" s="263"/>
      <c r="AB248" s="263"/>
      <c r="AC248" s="263"/>
      <c r="AD248" s="263"/>
      <c r="AE248" s="263"/>
      <c r="AF248" s="263"/>
      <c r="AG248" s="263"/>
      <c r="AH248" s="263"/>
      <c r="AI248" s="263"/>
      <c r="AJ248" s="263"/>
      <c r="AK248" s="263"/>
      <c r="AL248" s="263"/>
      <c r="AM248" s="263"/>
      <c r="AN248" s="263"/>
      <c r="AO248" s="263"/>
      <c r="AP248" s="263"/>
      <c r="AQ248" s="263"/>
      <c r="AR248" s="263"/>
      <c r="AS248" s="263"/>
      <c r="AT248" s="263"/>
      <c r="AU248" s="263"/>
      <c r="AV248" s="263"/>
      <c r="AW248" s="263"/>
      <c r="AX248" s="263"/>
      <c r="AY248" s="263"/>
      <c r="AZ248" s="264"/>
      <c r="BA248" s="264"/>
      <c r="BB248" s="264"/>
      <c r="BC248" s="264"/>
      <c r="BD248" s="264"/>
      <c r="BE248" s="264"/>
    </row>
    <row r="249" spans="1:57" s="266" customFormat="1" ht="22.5">
      <c r="A249" s="234">
        <v>14</v>
      </c>
      <c r="B249" s="121" t="s">
        <v>34</v>
      </c>
      <c r="C249" s="106" t="s">
        <v>458</v>
      </c>
      <c r="D249" s="51">
        <f t="shared" si="26"/>
        <v>58200</v>
      </c>
      <c r="E249" s="51">
        <f t="shared" si="27"/>
        <v>50000</v>
      </c>
      <c r="F249" s="152">
        <v>50000</v>
      </c>
      <c r="G249" s="110"/>
      <c r="H249" s="110"/>
      <c r="I249" s="110"/>
      <c r="J249" s="110"/>
      <c r="K249" s="51">
        <f t="shared" si="28"/>
        <v>8200</v>
      </c>
      <c r="L249" s="110">
        <v>0</v>
      </c>
      <c r="M249" s="110">
        <v>0</v>
      </c>
      <c r="N249" s="145"/>
      <c r="O249" s="152">
        <v>0</v>
      </c>
      <c r="P249" s="163"/>
      <c r="Q249" s="152"/>
      <c r="R249" s="152">
        <v>5700</v>
      </c>
      <c r="S249" s="110"/>
      <c r="T249" s="110">
        <v>2500</v>
      </c>
      <c r="U249" s="152"/>
      <c r="V249" s="152"/>
      <c r="W249" s="256">
        <v>0</v>
      </c>
      <c r="X249" s="263"/>
      <c r="Y249" s="263"/>
      <c r="Z249" s="263"/>
      <c r="AA249" s="263"/>
      <c r="AB249" s="263"/>
      <c r="AC249" s="263"/>
      <c r="AD249" s="263"/>
      <c r="AE249" s="263"/>
      <c r="AF249" s="263"/>
      <c r="AG249" s="263"/>
      <c r="AH249" s="263"/>
      <c r="AI249" s="263"/>
      <c r="AJ249" s="263"/>
      <c r="AK249" s="263"/>
      <c r="AL249" s="263"/>
      <c r="AM249" s="263"/>
      <c r="AN249" s="263"/>
      <c r="AO249" s="263"/>
      <c r="AP249" s="263"/>
      <c r="AQ249" s="263"/>
      <c r="AR249" s="263"/>
      <c r="AS249" s="263"/>
      <c r="AT249" s="263"/>
      <c r="AU249" s="263"/>
      <c r="AV249" s="263"/>
      <c r="AW249" s="263"/>
      <c r="AX249" s="263"/>
      <c r="AY249" s="263"/>
      <c r="AZ249" s="264"/>
      <c r="BA249" s="264"/>
      <c r="BB249" s="264"/>
      <c r="BC249" s="264"/>
      <c r="BD249" s="264"/>
      <c r="BE249" s="264"/>
    </row>
    <row r="250" spans="1:57" s="266" customFormat="1">
      <c r="A250" s="234">
        <v>15</v>
      </c>
      <c r="B250" s="121" t="s">
        <v>34</v>
      </c>
      <c r="C250" s="106" t="s">
        <v>459</v>
      </c>
      <c r="D250" s="51">
        <f t="shared" si="26"/>
        <v>22050</v>
      </c>
      <c r="E250" s="51">
        <f t="shared" si="27"/>
        <v>0</v>
      </c>
      <c r="F250" s="152">
        <v>0</v>
      </c>
      <c r="G250" s="110"/>
      <c r="H250" s="110"/>
      <c r="I250" s="110"/>
      <c r="J250" s="110"/>
      <c r="K250" s="51">
        <f t="shared" si="28"/>
        <v>22050</v>
      </c>
      <c r="L250" s="110">
        <v>15000</v>
      </c>
      <c r="M250" s="110">
        <v>1000</v>
      </c>
      <c r="N250" s="145"/>
      <c r="O250" s="152">
        <v>0</v>
      </c>
      <c r="P250" s="163">
        <v>2000</v>
      </c>
      <c r="Q250" s="152"/>
      <c r="R250" s="152">
        <v>2700</v>
      </c>
      <c r="S250" s="110">
        <v>450</v>
      </c>
      <c r="T250" s="110"/>
      <c r="U250" s="152"/>
      <c r="V250" s="152"/>
      <c r="W250" s="256">
        <v>900</v>
      </c>
      <c r="X250" s="263"/>
      <c r="Y250" s="263"/>
      <c r="Z250" s="263"/>
      <c r="AA250" s="263"/>
      <c r="AB250" s="263"/>
      <c r="AC250" s="263"/>
      <c r="AD250" s="263"/>
      <c r="AE250" s="263"/>
      <c r="AF250" s="263"/>
      <c r="AG250" s="263"/>
      <c r="AH250" s="263"/>
      <c r="AI250" s="263"/>
      <c r="AJ250" s="263"/>
      <c r="AK250" s="263"/>
      <c r="AL250" s="263"/>
      <c r="AM250" s="263"/>
      <c r="AN250" s="263"/>
      <c r="AO250" s="263"/>
      <c r="AP250" s="263"/>
      <c r="AQ250" s="263"/>
      <c r="AR250" s="263"/>
      <c r="AS250" s="263"/>
      <c r="AT250" s="263"/>
      <c r="AU250" s="263"/>
      <c r="AV250" s="263"/>
      <c r="AW250" s="263"/>
      <c r="AX250" s="263"/>
      <c r="AY250" s="263"/>
      <c r="AZ250" s="264"/>
      <c r="BA250" s="264"/>
      <c r="BB250" s="264"/>
      <c r="BC250" s="264"/>
      <c r="BD250" s="264"/>
      <c r="BE250" s="264"/>
    </row>
    <row r="251" spans="1:57" s="266" customFormat="1">
      <c r="A251" s="234">
        <v>16</v>
      </c>
      <c r="B251" s="121" t="s">
        <v>34</v>
      </c>
      <c r="C251" s="106" t="s">
        <v>460</v>
      </c>
      <c r="D251" s="51">
        <f t="shared" si="26"/>
        <v>7100</v>
      </c>
      <c r="E251" s="51">
        <f t="shared" si="27"/>
        <v>0</v>
      </c>
      <c r="F251" s="152">
        <v>0</v>
      </c>
      <c r="G251" s="110"/>
      <c r="H251" s="110"/>
      <c r="I251" s="110"/>
      <c r="J251" s="110"/>
      <c r="K251" s="51">
        <f t="shared" si="28"/>
        <v>7100</v>
      </c>
      <c r="L251" s="110">
        <v>1200</v>
      </c>
      <c r="M251" s="110">
        <v>1000</v>
      </c>
      <c r="N251" s="145"/>
      <c r="O251" s="152">
        <v>0</v>
      </c>
      <c r="P251" s="163">
        <v>1000</v>
      </c>
      <c r="Q251" s="152"/>
      <c r="R251" s="152">
        <v>2700</v>
      </c>
      <c r="S251" s="110">
        <v>400</v>
      </c>
      <c r="T251" s="110"/>
      <c r="U251" s="152"/>
      <c r="V251" s="152"/>
      <c r="W251" s="256">
        <v>800</v>
      </c>
      <c r="X251" s="263"/>
      <c r="Y251" s="263"/>
      <c r="Z251" s="263"/>
      <c r="AA251" s="263"/>
      <c r="AB251" s="263"/>
      <c r="AC251" s="263"/>
      <c r="AD251" s="263"/>
      <c r="AE251" s="263"/>
      <c r="AF251" s="263"/>
      <c r="AG251" s="263"/>
      <c r="AH251" s="263"/>
      <c r="AI251" s="263"/>
      <c r="AJ251" s="263"/>
      <c r="AK251" s="263"/>
      <c r="AL251" s="263"/>
      <c r="AM251" s="263"/>
      <c r="AN251" s="263"/>
      <c r="AO251" s="263"/>
      <c r="AP251" s="263"/>
      <c r="AQ251" s="263"/>
      <c r="AR251" s="263"/>
      <c r="AS251" s="263"/>
      <c r="AT251" s="263"/>
      <c r="AU251" s="263"/>
      <c r="AV251" s="263"/>
      <c r="AW251" s="263"/>
      <c r="AX251" s="263"/>
      <c r="AY251" s="263"/>
      <c r="AZ251" s="264"/>
      <c r="BA251" s="264"/>
      <c r="BB251" s="264"/>
      <c r="BC251" s="264"/>
      <c r="BD251" s="264"/>
      <c r="BE251" s="264"/>
    </row>
    <row r="252" spans="1:57" s="266" customFormat="1" ht="22.5">
      <c r="A252" s="234">
        <v>17</v>
      </c>
      <c r="B252" s="121" t="s">
        <v>34</v>
      </c>
      <c r="C252" s="106" t="s">
        <v>461</v>
      </c>
      <c r="D252" s="51">
        <f t="shared" si="26"/>
        <v>493374</v>
      </c>
      <c r="E252" s="51">
        <f t="shared" si="27"/>
        <v>46800</v>
      </c>
      <c r="F252" s="152">
        <v>46800</v>
      </c>
      <c r="G252" s="110"/>
      <c r="H252" s="110"/>
      <c r="I252" s="110"/>
      <c r="J252" s="110"/>
      <c r="K252" s="51">
        <f t="shared" si="28"/>
        <v>446574</v>
      </c>
      <c r="L252" s="110">
        <v>80000</v>
      </c>
      <c r="M252" s="110">
        <v>50000</v>
      </c>
      <c r="N252" s="145">
        <v>18000</v>
      </c>
      <c r="O252" s="152">
        <v>50825</v>
      </c>
      <c r="P252" s="163">
        <v>30000</v>
      </c>
      <c r="Q252" s="152">
        <v>15000</v>
      </c>
      <c r="R252" s="152">
        <v>102800</v>
      </c>
      <c r="S252" s="110"/>
      <c r="T252" s="110">
        <v>35000</v>
      </c>
      <c r="U252" s="152">
        <v>7000</v>
      </c>
      <c r="V252" s="152">
        <v>35869</v>
      </c>
      <c r="W252" s="256">
        <v>22080</v>
      </c>
      <c r="X252" s="263"/>
      <c r="Y252" s="263"/>
      <c r="Z252" s="263"/>
      <c r="AA252" s="263"/>
      <c r="AB252" s="263"/>
      <c r="AC252" s="263"/>
      <c r="AD252" s="263"/>
      <c r="AE252" s="263"/>
      <c r="AF252" s="263"/>
      <c r="AG252" s="263"/>
      <c r="AH252" s="263"/>
      <c r="AI252" s="263"/>
      <c r="AJ252" s="263"/>
      <c r="AK252" s="263"/>
      <c r="AL252" s="263"/>
      <c r="AM252" s="263"/>
      <c r="AN252" s="263"/>
      <c r="AO252" s="263"/>
      <c r="AP252" s="263"/>
      <c r="AQ252" s="263"/>
      <c r="AR252" s="263"/>
      <c r="AS252" s="263"/>
      <c r="AT252" s="263"/>
      <c r="AU252" s="263"/>
      <c r="AV252" s="263"/>
      <c r="AW252" s="263"/>
      <c r="AX252" s="263"/>
      <c r="AY252" s="263"/>
      <c r="AZ252" s="264"/>
      <c r="BA252" s="264"/>
      <c r="BB252" s="264"/>
      <c r="BC252" s="264"/>
      <c r="BD252" s="264"/>
      <c r="BE252" s="264"/>
    </row>
    <row r="253" spans="1:57" s="266" customFormat="1" ht="22.5">
      <c r="A253" s="234">
        <v>18</v>
      </c>
      <c r="B253" s="121" t="s">
        <v>34</v>
      </c>
      <c r="C253" s="106" t="s">
        <v>462</v>
      </c>
      <c r="D253" s="51">
        <f t="shared" si="26"/>
        <v>474992</v>
      </c>
      <c r="E253" s="51">
        <f t="shared" si="27"/>
        <v>293000</v>
      </c>
      <c r="F253" s="152">
        <v>293000</v>
      </c>
      <c r="G253" s="110"/>
      <c r="H253" s="110"/>
      <c r="I253" s="110"/>
      <c r="J253" s="110"/>
      <c r="K253" s="51">
        <f t="shared" si="28"/>
        <v>181992</v>
      </c>
      <c r="L253" s="110">
        <v>4080</v>
      </c>
      <c r="M253" s="110">
        <v>30000</v>
      </c>
      <c r="N253" s="145"/>
      <c r="O253" s="152">
        <v>7200</v>
      </c>
      <c r="P253" s="163">
        <v>7680</v>
      </c>
      <c r="Q253" s="152">
        <v>35200</v>
      </c>
      <c r="R253" s="152">
        <v>25000</v>
      </c>
      <c r="S253" s="110"/>
      <c r="T253" s="110">
        <v>53832</v>
      </c>
      <c r="U253" s="152">
        <v>14400</v>
      </c>
      <c r="V253" s="152"/>
      <c r="W253" s="256">
        <v>4600</v>
      </c>
      <c r="X253" s="263"/>
      <c r="Y253" s="263"/>
      <c r="Z253" s="263"/>
      <c r="AA253" s="263"/>
      <c r="AB253" s="263"/>
      <c r="AC253" s="263"/>
      <c r="AD253" s="263"/>
      <c r="AE253" s="263"/>
      <c r="AF253" s="263"/>
      <c r="AG253" s="263"/>
      <c r="AH253" s="263"/>
      <c r="AI253" s="263"/>
      <c r="AJ253" s="263"/>
      <c r="AK253" s="263"/>
      <c r="AL253" s="263"/>
      <c r="AM253" s="263"/>
      <c r="AN253" s="263"/>
      <c r="AO253" s="263"/>
      <c r="AP253" s="263"/>
      <c r="AQ253" s="263"/>
      <c r="AR253" s="263"/>
      <c r="AS253" s="263"/>
      <c r="AT253" s="263"/>
      <c r="AU253" s="263"/>
      <c r="AV253" s="263"/>
      <c r="AW253" s="263"/>
      <c r="AX253" s="263"/>
      <c r="AY253" s="263"/>
      <c r="AZ253" s="264"/>
      <c r="BA253" s="264"/>
      <c r="BB253" s="264"/>
      <c r="BC253" s="264"/>
      <c r="BD253" s="264"/>
      <c r="BE253" s="264"/>
    </row>
    <row r="254" spans="1:57" s="266" customFormat="1" ht="22.5">
      <c r="A254" s="234">
        <v>19</v>
      </c>
      <c r="B254" s="121" t="s">
        <v>34</v>
      </c>
      <c r="C254" s="106" t="s">
        <v>463</v>
      </c>
      <c r="D254" s="51">
        <f t="shared" si="26"/>
        <v>197300</v>
      </c>
      <c r="E254" s="51">
        <f t="shared" si="27"/>
        <v>95000</v>
      </c>
      <c r="F254" s="152">
        <v>95000</v>
      </c>
      <c r="G254" s="110"/>
      <c r="H254" s="110"/>
      <c r="I254" s="110"/>
      <c r="J254" s="110"/>
      <c r="K254" s="51">
        <f t="shared" si="28"/>
        <v>102300</v>
      </c>
      <c r="L254" s="110">
        <v>10000</v>
      </c>
      <c r="M254" s="110">
        <v>20000</v>
      </c>
      <c r="N254" s="145"/>
      <c r="O254" s="152">
        <v>0</v>
      </c>
      <c r="P254" s="163">
        <v>21000</v>
      </c>
      <c r="Q254" s="152"/>
      <c r="R254" s="152">
        <v>35000</v>
      </c>
      <c r="S254" s="110"/>
      <c r="T254" s="110">
        <v>10000</v>
      </c>
      <c r="U254" s="152"/>
      <c r="V254" s="152"/>
      <c r="W254" s="256">
        <v>6300</v>
      </c>
      <c r="X254" s="263"/>
      <c r="Y254" s="263"/>
      <c r="Z254" s="263"/>
      <c r="AA254" s="263"/>
      <c r="AB254" s="263"/>
      <c r="AC254" s="263"/>
      <c r="AD254" s="263"/>
      <c r="AE254" s="263"/>
      <c r="AF254" s="263"/>
      <c r="AG254" s="263"/>
      <c r="AH254" s="263"/>
      <c r="AI254" s="263"/>
      <c r="AJ254" s="263"/>
      <c r="AK254" s="263"/>
      <c r="AL254" s="263"/>
      <c r="AM254" s="263"/>
      <c r="AN254" s="263"/>
      <c r="AO254" s="263"/>
      <c r="AP254" s="263"/>
      <c r="AQ254" s="263"/>
      <c r="AR254" s="263"/>
      <c r="AS254" s="263"/>
      <c r="AT254" s="263"/>
      <c r="AU254" s="263"/>
      <c r="AV254" s="263"/>
      <c r="AW254" s="263"/>
      <c r="AX254" s="263"/>
      <c r="AY254" s="263"/>
      <c r="AZ254" s="264"/>
      <c r="BA254" s="264"/>
      <c r="BB254" s="264"/>
      <c r="BC254" s="264"/>
      <c r="BD254" s="264"/>
      <c r="BE254" s="264"/>
    </row>
    <row r="255" spans="1:57" s="266" customFormat="1" ht="22.5">
      <c r="A255" s="234">
        <v>20</v>
      </c>
      <c r="B255" s="121" t="s">
        <v>34</v>
      </c>
      <c r="C255" s="106" t="s">
        <v>464</v>
      </c>
      <c r="D255" s="51">
        <f t="shared" si="26"/>
        <v>690083</v>
      </c>
      <c r="E255" s="51">
        <f t="shared" si="27"/>
        <v>211200</v>
      </c>
      <c r="F255" s="152">
        <v>211200</v>
      </c>
      <c r="G255" s="110"/>
      <c r="H255" s="110"/>
      <c r="I255" s="110"/>
      <c r="J255" s="110"/>
      <c r="K255" s="51">
        <f t="shared" si="28"/>
        <v>478883</v>
      </c>
      <c r="L255" s="110">
        <v>50000</v>
      </c>
      <c r="M255" s="110">
        <v>50000</v>
      </c>
      <c r="N255" s="145"/>
      <c r="O255" s="152">
        <v>0</v>
      </c>
      <c r="P255" s="163">
        <v>30000</v>
      </c>
      <c r="Q255" s="152">
        <v>6000</v>
      </c>
      <c r="R255" s="152">
        <v>216000</v>
      </c>
      <c r="S255" s="110"/>
      <c r="T255" s="110">
        <v>6883</v>
      </c>
      <c r="U255" s="152">
        <v>100000</v>
      </c>
      <c r="V255" s="152"/>
      <c r="W255" s="256">
        <v>20000</v>
      </c>
      <c r="X255" s="263"/>
      <c r="Y255" s="263"/>
      <c r="Z255" s="263"/>
      <c r="AA255" s="263"/>
      <c r="AB255" s="263"/>
      <c r="AC255" s="263"/>
      <c r="AD255" s="263"/>
      <c r="AE255" s="263"/>
      <c r="AF255" s="263"/>
      <c r="AG255" s="263"/>
      <c r="AH255" s="263"/>
      <c r="AI255" s="263"/>
      <c r="AJ255" s="263"/>
      <c r="AK255" s="263"/>
      <c r="AL255" s="263"/>
      <c r="AM255" s="263"/>
      <c r="AN255" s="263"/>
      <c r="AO255" s="263"/>
      <c r="AP255" s="263"/>
      <c r="AQ255" s="263"/>
      <c r="AR255" s="263"/>
      <c r="AS255" s="263"/>
      <c r="AT255" s="263"/>
      <c r="AU255" s="263"/>
      <c r="AV255" s="263"/>
      <c r="AW255" s="263"/>
      <c r="AX255" s="263"/>
      <c r="AY255" s="263"/>
      <c r="AZ255" s="264"/>
      <c r="BA255" s="264"/>
      <c r="BB255" s="264"/>
      <c r="BC255" s="264"/>
      <c r="BD255" s="264"/>
      <c r="BE255" s="264"/>
    </row>
    <row r="256" spans="1:57" s="266" customFormat="1" ht="22.5">
      <c r="A256" s="234">
        <v>21</v>
      </c>
      <c r="B256" s="121" t="s">
        <v>34</v>
      </c>
      <c r="C256" s="106" t="s">
        <v>465</v>
      </c>
      <c r="D256" s="51">
        <f t="shared" si="26"/>
        <v>68000</v>
      </c>
      <c r="E256" s="51">
        <f t="shared" si="27"/>
        <v>25000</v>
      </c>
      <c r="F256" s="152">
        <v>25000</v>
      </c>
      <c r="G256" s="110"/>
      <c r="H256" s="110"/>
      <c r="I256" s="110"/>
      <c r="J256" s="110"/>
      <c r="K256" s="51">
        <f t="shared" si="28"/>
        <v>43000</v>
      </c>
      <c r="L256" s="110"/>
      <c r="M256" s="110"/>
      <c r="N256" s="145"/>
      <c r="O256" s="152">
        <v>25000</v>
      </c>
      <c r="P256" s="163"/>
      <c r="Q256" s="152"/>
      <c r="R256" s="152"/>
      <c r="S256" s="110"/>
      <c r="T256" s="110"/>
      <c r="U256" s="152"/>
      <c r="V256" s="152"/>
      <c r="W256" s="256">
        <v>18000</v>
      </c>
      <c r="X256" s="263"/>
      <c r="Y256" s="263"/>
      <c r="Z256" s="263"/>
      <c r="AA256" s="263"/>
      <c r="AB256" s="263"/>
      <c r="AC256" s="263"/>
      <c r="AD256" s="263"/>
      <c r="AE256" s="263"/>
      <c r="AF256" s="263"/>
      <c r="AG256" s="263"/>
      <c r="AH256" s="263"/>
      <c r="AI256" s="263"/>
      <c r="AJ256" s="263"/>
      <c r="AK256" s="263"/>
      <c r="AL256" s="263"/>
      <c r="AM256" s="263"/>
      <c r="AN256" s="263"/>
      <c r="AO256" s="263"/>
      <c r="AP256" s="263"/>
      <c r="AQ256" s="263"/>
      <c r="AR256" s="263"/>
      <c r="AS256" s="263"/>
      <c r="AT256" s="263"/>
      <c r="AU256" s="263"/>
      <c r="AV256" s="263"/>
      <c r="AW256" s="263"/>
      <c r="AX256" s="263"/>
      <c r="AY256" s="263"/>
      <c r="AZ256" s="264"/>
      <c r="BA256" s="264"/>
      <c r="BB256" s="264"/>
      <c r="BC256" s="264"/>
      <c r="BD256" s="264"/>
      <c r="BE256" s="264"/>
    </row>
    <row r="257" spans="1:57" s="266" customFormat="1">
      <c r="A257" s="234">
        <v>22</v>
      </c>
      <c r="B257" s="121" t="s">
        <v>34</v>
      </c>
      <c r="C257" s="106" t="s">
        <v>96</v>
      </c>
      <c r="D257" s="51">
        <f t="shared" si="26"/>
        <v>138400</v>
      </c>
      <c r="E257" s="51">
        <f t="shared" si="27"/>
        <v>25000</v>
      </c>
      <c r="F257" s="152">
        <v>25000</v>
      </c>
      <c r="G257" s="110"/>
      <c r="H257" s="110"/>
      <c r="I257" s="110"/>
      <c r="J257" s="110"/>
      <c r="K257" s="51">
        <f t="shared" si="28"/>
        <v>113400</v>
      </c>
      <c r="L257" s="110">
        <v>11520</v>
      </c>
      <c r="M257" s="110">
        <v>10000</v>
      </c>
      <c r="N257" s="145">
        <v>6000</v>
      </c>
      <c r="O257" s="152">
        <v>0</v>
      </c>
      <c r="P257" s="163">
        <v>0</v>
      </c>
      <c r="Q257" s="152">
        <v>12800</v>
      </c>
      <c r="R257" s="152">
        <v>39000</v>
      </c>
      <c r="S257" s="110"/>
      <c r="T257" s="110">
        <v>19680</v>
      </c>
      <c r="U257" s="152"/>
      <c r="V257" s="152">
        <v>14400</v>
      </c>
      <c r="W257" s="256">
        <v>0</v>
      </c>
      <c r="X257" s="263"/>
      <c r="Y257" s="263"/>
      <c r="Z257" s="263"/>
      <c r="AA257" s="263"/>
      <c r="AB257" s="263"/>
      <c r="AC257" s="263"/>
      <c r="AD257" s="263"/>
      <c r="AE257" s="263"/>
      <c r="AF257" s="263"/>
      <c r="AG257" s="263"/>
      <c r="AH257" s="263"/>
      <c r="AI257" s="263"/>
      <c r="AJ257" s="263"/>
      <c r="AK257" s="263"/>
      <c r="AL257" s="263"/>
      <c r="AM257" s="263"/>
      <c r="AN257" s="263"/>
      <c r="AO257" s="263"/>
      <c r="AP257" s="263"/>
      <c r="AQ257" s="263"/>
      <c r="AR257" s="263"/>
      <c r="AS257" s="263"/>
      <c r="AT257" s="263"/>
      <c r="AU257" s="263"/>
      <c r="AV257" s="263"/>
      <c r="AW257" s="263"/>
      <c r="AX257" s="263"/>
      <c r="AY257" s="263"/>
      <c r="AZ257" s="264"/>
      <c r="BA257" s="264"/>
      <c r="BB257" s="264"/>
      <c r="BC257" s="264"/>
      <c r="BD257" s="264"/>
      <c r="BE257" s="264"/>
    </row>
    <row r="258" spans="1:57" s="266" customFormat="1" ht="22.5">
      <c r="A258" s="234">
        <v>23</v>
      </c>
      <c r="B258" s="121" t="s">
        <v>34</v>
      </c>
      <c r="C258" s="106" t="s">
        <v>466</v>
      </c>
      <c r="D258" s="51">
        <f t="shared" si="26"/>
        <v>20400</v>
      </c>
      <c r="E258" s="51">
        <f t="shared" si="27"/>
        <v>15000</v>
      </c>
      <c r="F258" s="267">
        <v>15000</v>
      </c>
      <c r="G258" s="268"/>
      <c r="H258" s="268"/>
      <c r="I258" s="268"/>
      <c r="J258" s="268"/>
      <c r="K258" s="51">
        <f t="shared" si="28"/>
        <v>5400</v>
      </c>
      <c r="L258" s="110"/>
      <c r="M258" s="110">
        <v>0</v>
      </c>
      <c r="N258" s="145"/>
      <c r="O258" s="152">
        <v>0</v>
      </c>
      <c r="P258" s="163">
        <v>0</v>
      </c>
      <c r="Q258" s="152"/>
      <c r="R258" s="152"/>
      <c r="S258" s="110"/>
      <c r="T258" s="110">
        <v>0</v>
      </c>
      <c r="U258" s="152"/>
      <c r="V258" s="152"/>
      <c r="W258" s="256">
        <v>5400</v>
      </c>
      <c r="X258" s="263"/>
      <c r="Y258" s="263"/>
      <c r="Z258" s="263"/>
      <c r="AA258" s="263"/>
      <c r="AB258" s="263"/>
      <c r="AC258" s="263"/>
      <c r="AD258" s="263"/>
      <c r="AE258" s="263"/>
      <c r="AF258" s="263"/>
      <c r="AG258" s="263"/>
      <c r="AH258" s="263"/>
      <c r="AI258" s="263"/>
      <c r="AJ258" s="263"/>
      <c r="AK258" s="263"/>
      <c r="AL258" s="263"/>
      <c r="AM258" s="263"/>
      <c r="AN258" s="263"/>
      <c r="AO258" s="263"/>
      <c r="AP258" s="263"/>
      <c r="AQ258" s="263"/>
      <c r="AR258" s="263"/>
      <c r="AS258" s="263"/>
      <c r="AT258" s="263"/>
      <c r="AU258" s="263"/>
      <c r="AV258" s="263"/>
      <c r="AW258" s="263"/>
      <c r="AX258" s="263"/>
      <c r="AY258" s="263"/>
      <c r="AZ258" s="264"/>
      <c r="BA258" s="264"/>
      <c r="BB258" s="264"/>
      <c r="BC258" s="264"/>
      <c r="BD258" s="264"/>
      <c r="BE258" s="264"/>
    </row>
    <row r="259" spans="1:57" s="271" customFormat="1" ht="33.75">
      <c r="A259" s="234">
        <v>24</v>
      </c>
      <c r="B259" s="121" t="s">
        <v>34</v>
      </c>
      <c r="C259" s="106" t="s">
        <v>467</v>
      </c>
      <c r="D259" s="51">
        <f t="shared" si="26"/>
        <v>210320</v>
      </c>
      <c r="E259" s="51">
        <f t="shared" si="27"/>
        <v>45000</v>
      </c>
      <c r="F259" s="152">
        <v>45000</v>
      </c>
      <c r="G259" s="110"/>
      <c r="H259" s="110"/>
      <c r="I259" s="110"/>
      <c r="J259" s="110"/>
      <c r="K259" s="51">
        <f t="shared" si="28"/>
        <v>165320</v>
      </c>
      <c r="L259" s="110">
        <v>39700</v>
      </c>
      <c r="M259" s="110">
        <v>30000</v>
      </c>
      <c r="N259" s="145">
        <v>56000</v>
      </c>
      <c r="O259" s="152">
        <v>28620</v>
      </c>
      <c r="P259" s="163">
        <v>0</v>
      </c>
      <c r="Q259" s="152"/>
      <c r="R259" s="152">
        <v>10000</v>
      </c>
      <c r="S259" s="110"/>
      <c r="T259" s="110">
        <v>1000</v>
      </c>
      <c r="U259" s="152"/>
      <c r="V259" s="152"/>
      <c r="W259" s="256"/>
      <c r="X259" s="263"/>
      <c r="Y259" s="263"/>
      <c r="Z259" s="263"/>
      <c r="AA259" s="263"/>
      <c r="AB259" s="263"/>
      <c r="AC259" s="263"/>
      <c r="AD259" s="263"/>
      <c r="AE259" s="263"/>
      <c r="AF259" s="263"/>
      <c r="AG259" s="263"/>
      <c r="AH259" s="263"/>
      <c r="AI259" s="263"/>
      <c r="AJ259" s="263"/>
      <c r="AK259" s="263"/>
      <c r="AL259" s="263"/>
      <c r="AM259" s="263"/>
      <c r="AN259" s="263"/>
      <c r="AO259" s="263"/>
      <c r="AP259" s="263"/>
      <c r="AQ259" s="263"/>
      <c r="AR259" s="263"/>
      <c r="AS259" s="263"/>
      <c r="AT259" s="263"/>
      <c r="AU259" s="263"/>
      <c r="AV259" s="263"/>
      <c r="AW259" s="263"/>
      <c r="AX259" s="263"/>
      <c r="AY259" s="263"/>
      <c r="AZ259" s="269"/>
      <c r="BA259" s="270"/>
      <c r="BB259" s="270"/>
      <c r="BC259" s="270"/>
      <c r="BD259" s="270"/>
      <c r="BE259" s="270"/>
    </row>
    <row r="260" spans="1:57" s="270" customFormat="1">
      <c r="A260" s="234">
        <v>25</v>
      </c>
      <c r="B260" s="121" t="s">
        <v>34</v>
      </c>
      <c r="C260" s="106" t="s">
        <v>468</v>
      </c>
      <c r="D260" s="51">
        <f t="shared" si="26"/>
        <v>353020</v>
      </c>
      <c r="E260" s="51">
        <f t="shared" si="27"/>
        <v>0</v>
      </c>
      <c r="F260" s="152">
        <v>0</v>
      </c>
      <c r="G260" s="110"/>
      <c r="H260" s="110"/>
      <c r="I260" s="110"/>
      <c r="J260" s="110"/>
      <c r="K260" s="51">
        <f t="shared" si="28"/>
        <v>353020</v>
      </c>
      <c r="L260" s="110">
        <v>41000</v>
      </c>
      <c r="M260" s="152">
        <v>13000</v>
      </c>
      <c r="N260" s="145">
        <v>29000</v>
      </c>
      <c r="O260" s="152">
        <v>48520</v>
      </c>
      <c r="P260" s="163">
        <v>44500</v>
      </c>
      <c r="Q260" s="152">
        <v>22000</v>
      </c>
      <c r="R260" s="147">
        <v>47000</v>
      </c>
      <c r="S260" s="110">
        <v>40000</v>
      </c>
      <c r="T260" s="110">
        <v>36000</v>
      </c>
      <c r="U260" s="152">
        <v>0</v>
      </c>
      <c r="V260" s="152">
        <v>16000</v>
      </c>
      <c r="W260" s="152">
        <v>16000</v>
      </c>
      <c r="X260" s="263"/>
      <c r="Y260" s="263"/>
      <c r="Z260" s="263"/>
      <c r="AA260" s="263"/>
      <c r="AB260" s="263"/>
      <c r="AC260" s="263"/>
      <c r="AD260" s="263"/>
      <c r="AE260" s="263"/>
      <c r="AF260" s="263"/>
      <c r="AG260" s="263"/>
      <c r="AH260" s="263"/>
      <c r="AI260" s="263"/>
      <c r="AJ260" s="263"/>
      <c r="AK260" s="263"/>
      <c r="AL260" s="263"/>
      <c r="AM260" s="263"/>
      <c r="AN260" s="263"/>
      <c r="AO260" s="263"/>
      <c r="AP260" s="263"/>
      <c r="AQ260" s="263"/>
      <c r="AR260" s="263"/>
      <c r="AS260" s="263"/>
      <c r="AT260" s="263"/>
      <c r="AU260" s="263"/>
      <c r="AV260" s="263"/>
      <c r="AW260" s="263"/>
      <c r="AX260" s="263"/>
      <c r="AY260" s="263"/>
      <c r="AZ260" s="269"/>
    </row>
    <row r="261" spans="1:57" s="271" customFormat="1">
      <c r="A261" s="234">
        <v>26</v>
      </c>
      <c r="B261" s="121" t="s">
        <v>34</v>
      </c>
      <c r="C261" s="106" t="s">
        <v>469</v>
      </c>
      <c r="D261" s="51">
        <f t="shared" si="26"/>
        <v>200000</v>
      </c>
      <c r="E261" s="51">
        <f t="shared" si="27"/>
        <v>0</v>
      </c>
      <c r="F261" s="152">
        <v>0</v>
      </c>
      <c r="G261" s="110"/>
      <c r="H261" s="110"/>
      <c r="I261" s="110"/>
      <c r="J261" s="110"/>
      <c r="K261" s="51">
        <f t="shared" si="28"/>
        <v>200000</v>
      </c>
      <c r="L261" s="110"/>
      <c r="M261" s="152"/>
      <c r="N261" s="145"/>
      <c r="O261" s="152"/>
      <c r="P261" s="163">
        <v>200000</v>
      </c>
      <c r="Q261" s="152"/>
      <c r="R261" s="147"/>
      <c r="S261" s="110"/>
      <c r="T261" s="110"/>
      <c r="U261" s="152"/>
      <c r="V261" s="152"/>
      <c r="W261" s="256"/>
      <c r="X261" s="263"/>
      <c r="Y261" s="263"/>
      <c r="Z261" s="263"/>
      <c r="AA261" s="263"/>
      <c r="AB261" s="263"/>
      <c r="AC261" s="263"/>
      <c r="AD261" s="263"/>
      <c r="AE261" s="263"/>
      <c r="AF261" s="263"/>
      <c r="AG261" s="263"/>
      <c r="AH261" s="263"/>
      <c r="AI261" s="263"/>
      <c r="AJ261" s="263"/>
      <c r="AK261" s="263"/>
      <c r="AL261" s="263"/>
      <c r="AM261" s="263"/>
      <c r="AN261" s="263"/>
      <c r="AO261" s="263"/>
      <c r="AP261" s="263"/>
      <c r="AQ261" s="263"/>
      <c r="AR261" s="263"/>
      <c r="AS261" s="263"/>
      <c r="AT261" s="263"/>
      <c r="AU261" s="263"/>
      <c r="AV261" s="263"/>
      <c r="AW261" s="263"/>
      <c r="AX261" s="263"/>
      <c r="AY261" s="263"/>
      <c r="AZ261" s="269"/>
      <c r="BA261" s="270"/>
      <c r="BB261" s="270"/>
      <c r="BC261" s="270"/>
      <c r="BD261" s="270"/>
      <c r="BE261" s="270"/>
    </row>
    <row r="262" spans="1:57" s="271" customFormat="1" ht="22.5">
      <c r="A262" s="234">
        <v>27</v>
      </c>
      <c r="B262" s="121" t="s">
        <v>34</v>
      </c>
      <c r="C262" s="106" t="s">
        <v>470</v>
      </c>
      <c r="D262" s="51">
        <f t="shared" si="26"/>
        <v>120147</v>
      </c>
      <c r="E262" s="51">
        <f t="shared" si="27"/>
        <v>0</v>
      </c>
      <c r="F262" s="152">
        <v>0</v>
      </c>
      <c r="G262" s="110"/>
      <c r="H262" s="110"/>
      <c r="I262" s="110"/>
      <c r="J262" s="110"/>
      <c r="K262" s="51">
        <f t="shared" si="28"/>
        <v>120147</v>
      </c>
      <c r="L262" s="110">
        <v>20000</v>
      </c>
      <c r="M262" s="152"/>
      <c r="N262" s="145"/>
      <c r="O262" s="152"/>
      <c r="P262" s="163">
        <v>10000</v>
      </c>
      <c r="Q262" s="152"/>
      <c r="R262" s="147">
        <v>30000</v>
      </c>
      <c r="S262" s="110"/>
      <c r="T262" s="110"/>
      <c r="U262" s="152">
        <v>10000</v>
      </c>
      <c r="V262" s="152">
        <v>50147</v>
      </c>
      <c r="W262" s="256"/>
      <c r="X262" s="263"/>
      <c r="Y262" s="263"/>
      <c r="Z262" s="263"/>
      <c r="AA262" s="263"/>
      <c r="AB262" s="263"/>
      <c r="AC262" s="263"/>
      <c r="AD262" s="263"/>
      <c r="AE262" s="263"/>
      <c r="AF262" s="263"/>
      <c r="AG262" s="263"/>
      <c r="AH262" s="263"/>
      <c r="AI262" s="263"/>
      <c r="AJ262" s="263"/>
      <c r="AK262" s="263"/>
      <c r="AL262" s="263"/>
      <c r="AM262" s="263"/>
      <c r="AN262" s="263"/>
      <c r="AO262" s="263"/>
      <c r="AP262" s="263"/>
      <c r="AQ262" s="263"/>
      <c r="AR262" s="263"/>
      <c r="AS262" s="263"/>
      <c r="AT262" s="263"/>
      <c r="AU262" s="263"/>
      <c r="AV262" s="263"/>
      <c r="AW262" s="263"/>
      <c r="AX262" s="263"/>
      <c r="AY262" s="263"/>
      <c r="AZ262" s="269"/>
      <c r="BA262" s="270"/>
      <c r="BB262" s="270"/>
      <c r="BC262" s="270"/>
      <c r="BD262" s="270"/>
      <c r="BE262" s="270"/>
    </row>
    <row r="263" spans="1:57" s="271" customFormat="1" ht="22.5">
      <c r="A263" s="234">
        <v>28</v>
      </c>
      <c r="B263" s="121" t="s">
        <v>34</v>
      </c>
      <c r="C263" s="106" t="s">
        <v>471</v>
      </c>
      <c r="D263" s="51">
        <f t="shared" si="26"/>
        <v>44000</v>
      </c>
      <c r="E263" s="51">
        <f t="shared" si="27"/>
        <v>0</v>
      </c>
      <c r="F263" s="152">
        <v>0</v>
      </c>
      <c r="G263" s="110"/>
      <c r="H263" s="110"/>
      <c r="I263" s="110"/>
      <c r="J263" s="110"/>
      <c r="K263" s="51">
        <f t="shared" si="28"/>
        <v>44000</v>
      </c>
      <c r="L263" s="110"/>
      <c r="M263" s="152"/>
      <c r="N263" s="145">
        <v>44000</v>
      </c>
      <c r="O263" s="152"/>
      <c r="P263" s="163"/>
      <c r="Q263" s="152"/>
      <c r="R263" s="147"/>
      <c r="S263" s="110"/>
      <c r="T263" s="110"/>
      <c r="U263" s="152"/>
      <c r="V263" s="152"/>
      <c r="W263" s="256"/>
      <c r="X263" s="263"/>
      <c r="Y263" s="263"/>
      <c r="Z263" s="263"/>
      <c r="AA263" s="263"/>
      <c r="AB263" s="263"/>
      <c r="AC263" s="263"/>
      <c r="AD263" s="263"/>
      <c r="AE263" s="263"/>
      <c r="AF263" s="263"/>
      <c r="AG263" s="263"/>
      <c r="AH263" s="263"/>
      <c r="AI263" s="263"/>
      <c r="AJ263" s="263"/>
      <c r="AK263" s="263"/>
      <c r="AL263" s="263"/>
      <c r="AM263" s="263"/>
      <c r="AN263" s="263"/>
      <c r="AO263" s="263"/>
      <c r="AP263" s="263"/>
      <c r="AQ263" s="263"/>
      <c r="AR263" s="263"/>
      <c r="AS263" s="263"/>
      <c r="AT263" s="263"/>
      <c r="AU263" s="263"/>
      <c r="AV263" s="263"/>
      <c r="AW263" s="263"/>
      <c r="AX263" s="263"/>
      <c r="AY263" s="263"/>
      <c r="AZ263" s="269"/>
      <c r="BA263" s="270"/>
      <c r="BB263" s="270"/>
      <c r="BC263" s="270"/>
      <c r="BD263" s="270"/>
      <c r="BE263" s="270"/>
    </row>
    <row r="264" spans="1:57" s="271" customFormat="1">
      <c r="A264" s="234">
        <v>29</v>
      </c>
      <c r="B264" s="121" t="s">
        <v>34</v>
      </c>
      <c r="C264" s="106" t="s">
        <v>472</v>
      </c>
      <c r="D264" s="51">
        <f t="shared" si="26"/>
        <v>179900</v>
      </c>
      <c r="E264" s="51">
        <f t="shared" si="27"/>
        <v>0</v>
      </c>
      <c r="F264" s="152">
        <v>0</v>
      </c>
      <c r="G264" s="110"/>
      <c r="H264" s="110"/>
      <c r="I264" s="110"/>
      <c r="J264" s="110"/>
      <c r="K264" s="51">
        <f t="shared" si="28"/>
        <v>179900</v>
      </c>
      <c r="L264" s="110">
        <v>100000</v>
      </c>
      <c r="M264" s="152">
        <v>34000</v>
      </c>
      <c r="N264" s="145"/>
      <c r="O264" s="152"/>
      <c r="P264" s="163">
        <v>0</v>
      </c>
      <c r="Q264" s="152"/>
      <c r="R264" s="147"/>
      <c r="S264" s="110">
        <v>45900</v>
      </c>
      <c r="T264" s="110"/>
      <c r="U264" s="152"/>
      <c r="V264" s="152"/>
      <c r="W264" s="256"/>
      <c r="X264" s="263"/>
      <c r="Y264" s="263"/>
      <c r="Z264" s="263"/>
      <c r="AA264" s="263"/>
      <c r="AB264" s="263"/>
      <c r="AC264" s="263"/>
      <c r="AD264" s="263"/>
      <c r="AE264" s="263"/>
      <c r="AF264" s="263"/>
      <c r="AG264" s="263"/>
      <c r="AH264" s="263"/>
      <c r="AI264" s="263"/>
      <c r="AJ264" s="263"/>
      <c r="AK264" s="263"/>
      <c r="AL264" s="263"/>
      <c r="AM264" s="263"/>
      <c r="AN264" s="263"/>
      <c r="AO264" s="263"/>
      <c r="AP264" s="263"/>
      <c r="AQ264" s="263"/>
      <c r="AR264" s="263"/>
      <c r="AS264" s="263"/>
      <c r="AT264" s="263"/>
      <c r="AU264" s="263"/>
      <c r="AV264" s="263"/>
      <c r="AW264" s="263"/>
      <c r="AX264" s="263"/>
      <c r="AY264" s="263"/>
      <c r="AZ264" s="269"/>
      <c r="BA264" s="270"/>
      <c r="BB264" s="270"/>
      <c r="BC264" s="270"/>
      <c r="BD264" s="270"/>
      <c r="BE264" s="270"/>
    </row>
    <row r="265" spans="1:57" s="271" customFormat="1">
      <c r="A265" s="234">
        <v>30</v>
      </c>
      <c r="B265" s="121" t="s">
        <v>34</v>
      </c>
      <c r="C265" s="106" t="s">
        <v>473</v>
      </c>
      <c r="D265" s="51">
        <f t="shared" si="26"/>
        <v>19200</v>
      </c>
      <c r="E265" s="51">
        <f t="shared" si="27"/>
        <v>0</v>
      </c>
      <c r="F265" s="152">
        <v>0</v>
      </c>
      <c r="G265" s="110"/>
      <c r="H265" s="110"/>
      <c r="I265" s="110"/>
      <c r="J265" s="110"/>
      <c r="K265" s="51">
        <f t="shared" si="28"/>
        <v>19200</v>
      </c>
      <c r="L265" s="110"/>
      <c r="M265" s="152"/>
      <c r="N265" s="145"/>
      <c r="O265" s="152"/>
      <c r="P265" s="163"/>
      <c r="Q265" s="152">
        <v>19200</v>
      </c>
      <c r="R265" s="147"/>
      <c r="S265" s="110"/>
      <c r="T265" s="110"/>
      <c r="U265" s="152"/>
      <c r="V265" s="152"/>
      <c r="W265" s="256"/>
      <c r="X265" s="263"/>
      <c r="Y265" s="263"/>
      <c r="Z265" s="263"/>
      <c r="AA265" s="263"/>
      <c r="AB265" s="263"/>
      <c r="AC265" s="263"/>
      <c r="AD265" s="263"/>
      <c r="AE265" s="263"/>
      <c r="AF265" s="263"/>
      <c r="AG265" s="263"/>
      <c r="AH265" s="263"/>
      <c r="AI265" s="263"/>
      <c r="AJ265" s="263"/>
      <c r="AK265" s="263"/>
      <c r="AL265" s="263"/>
      <c r="AM265" s="263"/>
      <c r="AN265" s="263"/>
      <c r="AO265" s="263"/>
      <c r="AP265" s="263"/>
      <c r="AQ265" s="263"/>
      <c r="AR265" s="263"/>
      <c r="AS265" s="263"/>
      <c r="AT265" s="263"/>
      <c r="AU265" s="263"/>
      <c r="AV265" s="263"/>
      <c r="AW265" s="263"/>
      <c r="AX265" s="263"/>
      <c r="AY265" s="263"/>
      <c r="AZ265" s="269"/>
      <c r="BA265" s="270"/>
      <c r="BB265" s="270"/>
      <c r="BC265" s="270"/>
      <c r="BD265" s="270"/>
      <c r="BE265" s="270"/>
    </row>
    <row r="266" spans="1:57" s="275" customFormat="1">
      <c r="A266" s="272">
        <v>6</v>
      </c>
      <c r="B266" s="272" t="s">
        <v>572</v>
      </c>
      <c r="C266" s="273" t="s">
        <v>559</v>
      </c>
      <c r="D266" s="130">
        <f t="shared" ref="D266:D329" si="32">E266+K266</f>
        <v>16446264</v>
      </c>
      <c r="E266" s="130">
        <f t="shared" ref="E266:E329" si="33">SUM(F266:J266)</f>
        <v>6507702</v>
      </c>
      <c r="F266" s="274">
        <f>SUM(F267:F318)</f>
        <v>0</v>
      </c>
      <c r="G266" s="274">
        <f t="shared" ref="G266:W266" si="34">SUM(G267:G318)</f>
        <v>0</v>
      </c>
      <c r="H266" s="274">
        <f t="shared" si="34"/>
        <v>6507702</v>
      </c>
      <c r="I266" s="274">
        <f t="shared" si="34"/>
        <v>0</v>
      </c>
      <c r="J266" s="274">
        <f t="shared" si="34"/>
        <v>0</v>
      </c>
      <c r="K266" s="130">
        <f t="shared" ref="K266:K329" si="35">SUM(L266:W266)</f>
        <v>9938562</v>
      </c>
      <c r="L266" s="274">
        <f t="shared" si="34"/>
        <v>965276</v>
      </c>
      <c r="M266" s="274">
        <f t="shared" si="34"/>
        <v>332975</v>
      </c>
      <c r="N266" s="274">
        <f t="shared" si="34"/>
        <v>793760</v>
      </c>
      <c r="O266" s="274">
        <f t="shared" si="34"/>
        <v>1372854</v>
      </c>
      <c r="P266" s="274">
        <f t="shared" si="34"/>
        <v>1094236</v>
      </c>
      <c r="Q266" s="274">
        <f t="shared" si="34"/>
        <v>714553</v>
      </c>
      <c r="R266" s="274">
        <f t="shared" si="34"/>
        <v>1354521</v>
      </c>
      <c r="S266" s="274">
        <f t="shared" si="34"/>
        <v>855806</v>
      </c>
      <c r="T266" s="274">
        <f t="shared" si="34"/>
        <v>947364</v>
      </c>
      <c r="U266" s="274">
        <f t="shared" si="34"/>
        <v>441444</v>
      </c>
      <c r="V266" s="274">
        <f t="shared" si="34"/>
        <v>588399</v>
      </c>
      <c r="W266" s="274">
        <f t="shared" si="34"/>
        <v>477374</v>
      </c>
    </row>
    <row r="267" spans="1:57" s="266" customFormat="1" ht="21">
      <c r="A267" s="491" t="s">
        <v>249</v>
      </c>
      <c r="B267" s="492" t="s">
        <v>572</v>
      </c>
      <c r="C267" s="493" t="s">
        <v>560</v>
      </c>
      <c r="D267" s="207">
        <f t="shared" si="32"/>
        <v>0</v>
      </c>
      <c r="E267" s="207">
        <f t="shared" si="33"/>
        <v>0</v>
      </c>
      <c r="F267" s="125"/>
      <c r="G267" s="125"/>
      <c r="H267" s="276"/>
      <c r="I267" s="276"/>
      <c r="J267" s="276"/>
      <c r="K267" s="207">
        <f t="shared" si="35"/>
        <v>0</v>
      </c>
      <c r="L267" s="277"/>
      <c r="M267" s="277"/>
      <c r="N267" s="277"/>
      <c r="O267" s="277"/>
      <c r="P267" s="277"/>
      <c r="Q267" s="277"/>
      <c r="R267" s="277"/>
      <c r="S267" s="277"/>
      <c r="T267" s="277"/>
      <c r="U267" s="277"/>
      <c r="V267" s="277"/>
      <c r="W267" s="277"/>
    </row>
    <row r="268" spans="1:57" s="266" customFormat="1" ht="21">
      <c r="A268" s="494">
        <v>1</v>
      </c>
      <c r="B268" s="492" t="s">
        <v>572</v>
      </c>
      <c r="C268" s="495" t="s">
        <v>148</v>
      </c>
      <c r="D268" s="207">
        <f t="shared" si="32"/>
        <v>0</v>
      </c>
      <c r="E268" s="207">
        <f t="shared" si="33"/>
        <v>0</v>
      </c>
      <c r="F268" s="125"/>
      <c r="G268" s="125"/>
      <c r="H268" s="278"/>
      <c r="I268" s="278"/>
      <c r="J268" s="278"/>
      <c r="K268" s="207">
        <f t="shared" si="35"/>
        <v>0</v>
      </c>
      <c r="L268" s="279"/>
      <c r="M268" s="279"/>
      <c r="N268" s="279"/>
      <c r="O268" s="279"/>
      <c r="P268" s="279"/>
      <c r="Q268" s="279"/>
      <c r="R268" s="279"/>
      <c r="S268" s="279"/>
      <c r="T268" s="279"/>
      <c r="U268" s="279"/>
      <c r="V268" s="279"/>
      <c r="W268" s="279"/>
    </row>
    <row r="269" spans="1:57" s="283" customFormat="1">
      <c r="A269" s="496" t="s">
        <v>147</v>
      </c>
      <c r="B269" s="497" t="s">
        <v>572</v>
      </c>
      <c r="C269" s="498" t="s">
        <v>149</v>
      </c>
      <c r="D269" s="188">
        <f t="shared" si="32"/>
        <v>4478400</v>
      </c>
      <c r="E269" s="188">
        <f t="shared" si="33"/>
        <v>0</v>
      </c>
      <c r="F269" s="124"/>
      <c r="G269" s="124"/>
      <c r="H269" s="124"/>
      <c r="I269" s="124"/>
      <c r="J269" s="124"/>
      <c r="K269" s="188">
        <f t="shared" si="35"/>
        <v>4478400</v>
      </c>
      <c r="L269" s="280">
        <v>540000</v>
      </c>
      <c r="M269" s="281">
        <v>68400</v>
      </c>
      <c r="N269" s="281">
        <f>318600+2400</f>
        <v>321000</v>
      </c>
      <c r="O269" s="281">
        <v>597600</v>
      </c>
      <c r="P269" s="282">
        <v>531000</v>
      </c>
      <c r="Q269" s="281">
        <v>197400</v>
      </c>
      <c r="R269" s="313">
        <v>621000</v>
      </c>
      <c r="S269" s="281">
        <v>509400</v>
      </c>
      <c r="T269" s="284">
        <v>495000</v>
      </c>
      <c r="U269" s="313">
        <v>169200</v>
      </c>
      <c r="V269" s="281">
        <v>223200</v>
      </c>
      <c r="W269" s="313">
        <v>205200</v>
      </c>
    </row>
    <row r="270" spans="1:57" s="283" customFormat="1">
      <c r="A270" s="496" t="s">
        <v>150</v>
      </c>
      <c r="B270" s="497" t="s">
        <v>572</v>
      </c>
      <c r="C270" s="498" t="s">
        <v>151</v>
      </c>
      <c r="D270" s="188">
        <f t="shared" si="32"/>
        <v>1148065</v>
      </c>
      <c r="E270" s="188">
        <f t="shared" si="33"/>
        <v>0</v>
      </c>
      <c r="F270" s="124"/>
      <c r="G270" s="124"/>
      <c r="H270" s="124"/>
      <c r="I270" s="124"/>
      <c r="J270" s="124"/>
      <c r="K270" s="188">
        <f t="shared" si="35"/>
        <v>1148065</v>
      </c>
      <c r="L270" s="280">
        <f>7330+1036</f>
        <v>8366</v>
      </c>
      <c r="M270" s="284">
        <v>58600</v>
      </c>
      <c r="N270" s="281">
        <v>80000</v>
      </c>
      <c r="O270" s="281">
        <v>162534</v>
      </c>
      <c r="P270" s="285">
        <v>120000</v>
      </c>
      <c r="Q270" s="281">
        <v>172323</v>
      </c>
      <c r="R270" s="313">
        <v>207571</v>
      </c>
      <c r="S270" s="286">
        <v>58746</v>
      </c>
      <c r="T270" s="284">
        <v>74644</v>
      </c>
      <c r="U270" s="313">
        <v>50914</v>
      </c>
      <c r="V270" s="281">
        <v>103453</v>
      </c>
      <c r="W270" s="313">
        <v>50914</v>
      </c>
    </row>
    <row r="271" spans="1:57" s="283" customFormat="1">
      <c r="A271" s="496" t="s">
        <v>289</v>
      </c>
      <c r="B271" s="497" t="s">
        <v>572</v>
      </c>
      <c r="C271" s="498" t="s">
        <v>297</v>
      </c>
      <c r="D271" s="188">
        <f t="shared" si="32"/>
        <v>0</v>
      </c>
      <c r="E271" s="188">
        <f t="shared" si="33"/>
        <v>0</v>
      </c>
      <c r="F271" s="124"/>
      <c r="G271" s="124"/>
      <c r="H271" s="124"/>
      <c r="I271" s="124"/>
      <c r="J271" s="124"/>
      <c r="K271" s="188">
        <f t="shared" si="35"/>
        <v>0</v>
      </c>
      <c r="L271" s="280"/>
      <c r="M271" s="281"/>
      <c r="N271" s="281"/>
      <c r="O271" s="281"/>
      <c r="P271" s="287"/>
      <c r="Q271" s="281"/>
      <c r="R271" s="313"/>
      <c r="S271" s="286">
        <v>0</v>
      </c>
      <c r="T271" s="284"/>
      <c r="U271" s="313"/>
      <c r="V271" s="281"/>
      <c r="W271" s="313"/>
    </row>
    <row r="272" spans="1:57" s="283" customFormat="1">
      <c r="A272" s="496" t="s">
        <v>152</v>
      </c>
      <c r="B272" s="497" t="s">
        <v>572</v>
      </c>
      <c r="C272" s="498" t="s">
        <v>272</v>
      </c>
      <c r="D272" s="188">
        <f t="shared" si="32"/>
        <v>293727</v>
      </c>
      <c r="E272" s="188">
        <f t="shared" si="33"/>
        <v>0</v>
      </c>
      <c r="F272" s="124"/>
      <c r="G272" s="124"/>
      <c r="H272" s="124"/>
      <c r="I272" s="124"/>
      <c r="J272" s="124"/>
      <c r="K272" s="188">
        <f t="shared" si="35"/>
        <v>293727</v>
      </c>
      <c r="L272" s="280">
        <f>9000+2100+7100</f>
        <v>18200</v>
      </c>
      <c r="M272" s="281">
        <v>3207</v>
      </c>
      <c r="N272" s="281">
        <f>14000+12600+20000</f>
        <v>46600</v>
      </c>
      <c r="O272" s="281">
        <v>70500</v>
      </c>
      <c r="P272" s="285">
        <v>25000</v>
      </c>
      <c r="Q272" s="281">
        <v>10080</v>
      </c>
      <c r="R272" s="313">
        <v>21000</v>
      </c>
      <c r="S272" s="286">
        <v>13860</v>
      </c>
      <c r="T272" s="284">
        <v>27820</v>
      </c>
      <c r="U272" s="313">
        <v>11340</v>
      </c>
      <c r="V272" s="281">
        <f>16100+7080+11000+600</f>
        <v>34780</v>
      </c>
      <c r="W272" s="313">
        <v>11340</v>
      </c>
    </row>
    <row r="273" spans="1:23" s="283" customFormat="1">
      <c r="A273" s="496" t="s">
        <v>154</v>
      </c>
      <c r="B273" s="497" t="s">
        <v>572</v>
      </c>
      <c r="C273" s="498" t="s">
        <v>153</v>
      </c>
      <c r="D273" s="188">
        <f t="shared" si="32"/>
        <v>72400</v>
      </c>
      <c r="E273" s="188">
        <f t="shared" si="33"/>
        <v>47000</v>
      </c>
      <c r="F273" s="124"/>
      <c r="G273" s="124"/>
      <c r="H273" s="124">
        <v>47000</v>
      </c>
      <c r="I273" s="124"/>
      <c r="J273" s="124"/>
      <c r="K273" s="188">
        <f t="shared" si="35"/>
        <v>25400</v>
      </c>
      <c r="L273" s="280">
        <v>2000</v>
      </c>
      <c r="M273" s="284">
        <v>2000</v>
      </c>
      <c r="N273" s="281">
        <v>2000</v>
      </c>
      <c r="O273" s="281">
        <v>2000</v>
      </c>
      <c r="P273" s="285">
        <v>2000</v>
      </c>
      <c r="Q273" s="281">
        <v>2000</v>
      </c>
      <c r="R273" s="313">
        <v>2000</v>
      </c>
      <c r="S273" s="286">
        <v>2000</v>
      </c>
      <c r="T273" s="284">
        <v>2000</v>
      </c>
      <c r="U273" s="313">
        <v>2000</v>
      </c>
      <c r="V273" s="281">
        <v>3400</v>
      </c>
      <c r="W273" s="313">
        <v>2000</v>
      </c>
    </row>
    <row r="274" spans="1:23" s="283" customFormat="1" ht="22.5">
      <c r="A274" s="496" t="s">
        <v>155</v>
      </c>
      <c r="B274" s="497" t="s">
        <v>572</v>
      </c>
      <c r="C274" s="498" t="s">
        <v>273</v>
      </c>
      <c r="D274" s="188">
        <f t="shared" si="32"/>
        <v>1197017</v>
      </c>
      <c r="E274" s="188">
        <f t="shared" si="33"/>
        <v>1055500</v>
      </c>
      <c r="F274" s="124"/>
      <c r="G274" s="124"/>
      <c r="H274" s="124">
        <v>1055500</v>
      </c>
      <c r="I274" s="124"/>
      <c r="J274" s="124"/>
      <c r="K274" s="188">
        <f t="shared" si="35"/>
        <v>141517</v>
      </c>
      <c r="L274" s="280">
        <v>26000</v>
      </c>
      <c r="M274" s="284">
        <v>7817</v>
      </c>
      <c r="N274" s="281">
        <v>3000</v>
      </c>
      <c r="O274" s="281">
        <v>13000</v>
      </c>
      <c r="P274" s="285">
        <v>14000</v>
      </c>
      <c r="Q274" s="281">
        <v>7000</v>
      </c>
      <c r="R274" s="313">
        <v>17000</v>
      </c>
      <c r="S274" s="286">
        <v>9800</v>
      </c>
      <c r="T274" s="284">
        <v>18000</v>
      </c>
      <c r="U274" s="313">
        <v>8100</v>
      </c>
      <c r="V274" s="281">
        <f>3700+6000</f>
        <v>9700</v>
      </c>
      <c r="W274" s="313">
        <v>8100</v>
      </c>
    </row>
    <row r="275" spans="1:23" s="283" customFormat="1" ht="22.5">
      <c r="A275" s="496" t="s">
        <v>157</v>
      </c>
      <c r="B275" s="497" t="s">
        <v>572</v>
      </c>
      <c r="C275" s="498" t="s">
        <v>158</v>
      </c>
      <c r="D275" s="188">
        <f t="shared" si="32"/>
        <v>53060</v>
      </c>
      <c r="E275" s="188">
        <f t="shared" si="33"/>
        <v>53060</v>
      </c>
      <c r="F275" s="124"/>
      <c r="G275" s="124"/>
      <c r="H275" s="124">
        <v>53060</v>
      </c>
      <c r="I275" s="124"/>
      <c r="J275" s="124"/>
      <c r="K275" s="188">
        <f t="shared" si="35"/>
        <v>0</v>
      </c>
      <c r="L275" s="280"/>
      <c r="M275" s="284"/>
      <c r="N275" s="281"/>
      <c r="O275" s="281"/>
      <c r="P275" s="285"/>
      <c r="Q275" s="281"/>
      <c r="R275" s="313"/>
      <c r="S275" s="286">
        <v>0</v>
      </c>
      <c r="T275" s="499"/>
      <c r="U275" s="313"/>
      <c r="V275" s="281"/>
      <c r="W275" s="313"/>
    </row>
    <row r="276" spans="1:23" s="283" customFormat="1" ht="22.5">
      <c r="A276" s="496" t="s">
        <v>159</v>
      </c>
      <c r="B276" s="497" t="s">
        <v>572</v>
      </c>
      <c r="C276" s="498" t="s">
        <v>160</v>
      </c>
      <c r="D276" s="188">
        <f t="shared" si="32"/>
        <v>37040</v>
      </c>
      <c r="E276" s="188">
        <f t="shared" si="33"/>
        <v>37040</v>
      </c>
      <c r="F276" s="124"/>
      <c r="G276" s="124"/>
      <c r="H276" s="124">
        <v>37040</v>
      </c>
      <c r="I276" s="124"/>
      <c r="J276" s="124"/>
      <c r="K276" s="188">
        <f t="shared" si="35"/>
        <v>0</v>
      </c>
      <c r="L276" s="280"/>
      <c r="M276" s="281"/>
      <c r="N276" s="281"/>
      <c r="O276" s="281"/>
      <c r="P276" s="285"/>
      <c r="Q276" s="281"/>
      <c r="R276" s="313"/>
      <c r="S276" s="286">
        <v>0</v>
      </c>
      <c r="T276" s="499"/>
      <c r="U276" s="313"/>
      <c r="V276" s="281"/>
      <c r="W276" s="313"/>
    </row>
    <row r="277" spans="1:23" s="283" customFormat="1">
      <c r="A277" s="496" t="s">
        <v>161</v>
      </c>
      <c r="B277" s="497" t="s">
        <v>572</v>
      </c>
      <c r="C277" s="500" t="s">
        <v>162</v>
      </c>
      <c r="D277" s="188">
        <f t="shared" si="32"/>
        <v>424988</v>
      </c>
      <c r="E277" s="188">
        <f t="shared" si="33"/>
        <v>328552</v>
      </c>
      <c r="F277" s="124"/>
      <c r="G277" s="124"/>
      <c r="H277" s="124">
        <v>328552</v>
      </c>
      <c r="I277" s="124"/>
      <c r="J277" s="124"/>
      <c r="K277" s="188">
        <f t="shared" si="35"/>
        <v>96436</v>
      </c>
      <c r="L277" s="280">
        <v>19500</v>
      </c>
      <c r="M277" s="281">
        <v>12036</v>
      </c>
      <c r="N277" s="281">
        <v>20000</v>
      </c>
      <c r="O277" s="281">
        <v>21850</v>
      </c>
      <c r="P277" s="285">
        <v>20000</v>
      </c>
      <c r="Q277" s="281">
        <v>3050</v>
      </c>
      <c r="R277" s="313"/>
      <c r="S277" s="286">
        <v>0</v>
      </c>
      <c r="T277" s="243"/>
      <c r="U277" s="313"/>
      <c r="V277" s="281"/>
      <c r="W277" s="313"/>
    </row>
    <row r="278" spans="1:23" s="266" customFormat="1" ht="22.5">
      <c r="A278" s="496" t="s">
        <v>298</v>
      </c>
      <c r="B278" s="497" t="s">
        <v>572</v>
      </c>
      <c r="C278" s="288" t="s">
        <v>156</v>
      </c>
      <c r="D278" s="188">
        <f t="shared" si="32"/>
        <v>140000</v>
      </c>
      <c r="E278" s="188">
        <f t="shared" si="33"/>
        <v>0</v>
      </c>
      <c r="F278" s="124"/>
      <c r="G278" s="124"/>
      <c r="H278" s="124"/>
      <c r="I278" s="124"/>
      <c r="J278" s="124"/>
      <c r="K278" s="188">
        <f t="shared" si="35"/>
        <v>140000</v>
      </c>
      <c r="L278" s="289"/>
      <c r="M278" s="290">
        <v>10000</v>
      </c>
      <c r="N278" s="290">
        <v>30000</v>
      </c>
      <c r="O278" s="290">
        <v>20000</v>
      </c>
      <c r="P278" s="291">
        <v>30000</v>
      </c>
      <c r="Q278" s="290">
        <v>30000</v>
      </c>
      <c r="R278" s="501">
        <v>20000</v>
      </c>
      <c r="S278" s="292">
        <v>0</v>
      </c>
      <c r="T278" s="502"/>
      <c r="U278" s="501"/>
      <c r="V278" s="290"/>
      <c r="W278" s="501"/>
    </row>
    <row r="279" spans="1:23" s="266" customFormat="1">
      <c r="A279" s="496" t="s">
        <v>563</v>
      </c>
      <c r="B279" s="497" t="s">
        <v>572</v>
      </c>
      <c r="C279" s="293" t="s">
        <v>290</v>
      </c>
      <c r="D279" s="188">
        <f t="shared" si="32"/>
        <v>0</v>
      </c>
      <c r="E279" s="188">
        <f t="shared" si="33"/>
        <v>0</v>
      </c>
      <c r="F279" s="124"/>
      <c r="G279" s="124"/>
      <c r="H279" s="124"/>
      <c r="I279" s="124"/>
      <c r="J279" s="124"/>
      <c r="K279" s="188">
        <f t="shared" si="35"/>
        <v>0</v>
      </c>
      <c r="L279" s="294"/>
      <c r="M279" s="294"/>
      <c r="N279" s="294"/>
      <c r="O279" s="294"/>
      <c r="P279" s="294"/>
      <c r="Q279" s="294"/>
      <c r="R279" s="294"/>
      <c r="S279" s="294"/>
      <c r="T279" s="294"/>
      <c r="U279" s="294"/>
      <c r="V279" s="294"/>
      <c r="W279" s="294"/>
    </row>
    <row r="280" spans="1:23" s="266" customFormat="1">
      <c r="A280" s="503"/>
      <c r="B280" s="497" t="s">
        <v>572</v>
      </c>
      <c r="C280" s="293" t="s">
        <v>292</v>
      </c>
      <c r="D280" s="188">
        <f t="shared" si="32"/>
        <v>720000</v>
      </c>
      <c r="E280" s="188">
        <f t="shared" si="33"/>
        <v>64000</v>
      </c>
      <c r="F280" s="124"/>
      <c r="G280" s="124"/>
      <c r="H280" s="124">
        <v>64000</v>
      </c>
      <c r="I280" s="124"/>
      <c r="J280" s="124"/>
      <c r="K280" s="188">
        <f t="shared" si="35"/>
        <v>656000</v>
      </c>
      <c r="L280" s="294">
        <v>32000</v>
      </c>
      <c r="M280" s="295">
        <v>24000</v>
      </c>
      <c r="N280" s="295">
        <v>48000</v>
      </c>
      <c r="O280" s="295">
        <v>60000</v>
      </c>
      <c r="P280" s="296">
        <v>68800</v>
      </c>
      <c r="Q280" s="296">
        <v>72000</v>
      </c>
      <c r="R280" s="295">
        <v>92000</v>
      </c>
      <c r="S280" s="296">
        <v>48000</v>
      </c>
      <c r="T280" s="499">
        <v>88000</v>
      </c>
      <c r="U280" s="296">
        <v>40000</v>
      </c>
      <c r="V280" s="295">
        <v>43200</v>
      </c>
      <c r="W280" s="296">
        <v>40000</v>
      </c>
    </row>
    <row r="281" spans="1:23" s="266" customFormat="1">
      <c r="A281" s="503"/>
      <c r="B281" s="497" t="s">
        <v>572</v>
      </c>
      <c r="C281" s="293" t="s">
        <v>291</v>
      </c>
      <c r="D281" s="188">
        <f t="shared" si="32"/>
        <v>1280000</v>
      </c>
      <c r="E281" s="188">
        <f t="shared" si="33"/>
        <v>60300</v>
      </c>
      <c r="F281" s="124"/>
      <c r="G281" s="124"/>
      <c r="H281" s="124">
        <v>60300</v>
      </c>
      <c r="I281" s="124"/>
      <c r="J281" s="124"/>
      <c r="K281" s="188">
        <f t="shared" si="35"/>
        <v>1219700</v>
      </c>
      <c r="L281" s="294">
        <v>77550</v>
      </c>
      <c r="M281" s="295">
        <v>78400</v>
      </c>
      <c r="N281" s="295">
        <v>108900</v>
      </c>
      <c r="O281" s="295">
        <v>149200</v>
      </c>
      <c r="P281" s="296">
        <v>126800</v>
      </c>
      <c r="Q281" s="296">
        <v>121600</v>
      </c>
      <c r="R281" s="295">
        <v>174500</v>
      </c>
      <c r="S281" s="296">
        <v>82000</v>
      </c>
      <c r="T281" s="499">
        <v>134800</v>
      </c>
      <c r="U281" s="296">
        <v>53500</v>
      </c>
      <c r="V281" s="295">
        <v>59950</v>
      </c>
      <c r="W281" s="296">
        <v>52500</v>
      </c>
    </row>
    <row r="282" spans="1:23" s="299" customFormat="1">
      <c r="A282" s="504" t="s">
        <v>564</v>
      </c>
      <c r="B282" s="272" t="s">
        <v>572</v>
      </c>
      <c r="C282" s="505" t="s">
        <v>173</v>
      </c>
      <c r="D282" s="51">
        <f t="shared" si="32"/>
        <v>0</v>
      </c>
      <c r="E282" s="51">
        <f t="shared" si="33"/>
        <v>0</v>
      </c>
      <c r="F282" s="297"/>
      <c r="G282" s="297"/>
      <c r="H282" s="297"/>
      <c r="I282" s="297"/>
      <c r="J282" s="297"/>
      <c r="K282" s="51">
        <f t="shared" si="35"/>
        <v>0</v>
      </c>
      <c r="L282" s="298"/>
      <c r="M282" s="298"/>
      <c r="N282" s="298"/>
      <c r="O282" s="298"/>
      <c r="P282" s="298"/>
      <c r="Q282" s="298"/>
      <c r="R282" s="298"/>
      <c r="S282" s="298"/>
      <c r="T282" s="298"/>
      <c r="U282" s="298"/>
      <c r="V282" s="298"/>
      <c r="W282" s="298"/>
    </row>
    <row r="283" spans="1:23" s="301" customFormat="1" ht="56.25">
      <c r="A283" s="506" t="s">
        <v>299</v>
      </c>
      <c r="B283" s="497" t="s">
        <v>572</v>
      </c>
      <c r="C283" s="507" t="s">
        <v>301</v>
      </c>
      <c r="D283" s="188">
        <f t="shared" si="32"/>
        <v>0</v>
      </c>
      <c r="E283" s="188">
        <f t="shared" si="33"/>
        <v>0</v>
      </c>
      <c r="F283" s="124"/>
      <c r="G283" s="124"/>
      <c r="H283" s="124"/>
      <c r="I283" s="124"/>
      <c r="J283" s="124"/>
      <c r="K283" s="188">
        <f t="shared" si="35"/>
        <v>0</v>
      </c>
      <c r="L283" s="280"/>
      <c r="M283" s="281"/>
      <c r="N283" s="281"/>
      <c r="O283" s="300"/>
      <c r="P283" s="246"/>
      <c r="Q283" s="281"/>
      <c r="R283" s="284"/>
      <c r="S283" s="286">
        <v>0</v>
      </c>
      <c r="T283" s="499"/>
      <c r="U283" s="284"/>
      <c r="V283" s="281"/>
      <c r="W283" s="284"/>
    </row>
    <row r="284" spans="1:23" s="266" customFormat="1" ht="22.5">
      <c r="A284" s="506" t="s">
        <v>166</v>
      </c>
      <c r="B284" s="497" t="s">
        <v>572</v>
      </c>
      <c r="C284" s="507" t="s">
        <v>174</v>
      </c>
      <c r="D284" s="188">
        <f t="shared" si="32"/>
        <v>350075</v>
      </c>
      <c r="E284" s="188">
        <f t="shared" si="33"/>
        <v>0</v>
      </c>
      <c r="F284" s="124"/>
      <c r="G284" s="124"/>
      <c r="H284" s="124"/>
      <c r="I284" s="124"/>
      <c r="J284" s="124"/>
      <c r="K284" s="188">
        <f t="shared" si="35"/>
        <v>350075</v>
      </c>
      <c r="L284" s="280">
        <f>14400+8640</f>
        <v>23040</v>
      </c>
      <c r="M284" s="307">
        <v>20935</v>
      </c>
      <c r="N284" s="281">
        <v>13500</v>
      </c>
      <c r="O284" s="300">
        <v>47500</v>
      </c>
      <c r="P284" s="285">
        <f>12800+16000</f>
        <v>28800</v>
      </c>
      <c r="Q284" s="281">
        <v>25800</v>
      </c>
      <c r="R284" s="284">
        <v>59900</v>
      </c>
      <c r="S284" s="286">
        <v>34100</v>
      </c>
      <c r="T284" s="281">
        <v>22400</v>
      </c>
      <c r="U284" s="284">
        <v>29000</v>
      </c>
      <c r="V284" s="281">
        <v>16100</v>
      </c>
      <c r="W284" s="284">
        <v>29000</v>
      </c>
    </row>
    <row r="285" spans="1:23" s="1" customFormat="1" ht="22.5">
      <c r="A285" s="506" t="s">
        <v>172</v>
      </c>
      <c r="B285" s="497" t="s">
        <v>572</v>
      </c>
      <c r="C285" s="507" t="s">
        <v>175</v>
      </c>
      <c r="D285" s="188">
        <f t="shared" si="32"/>
        <v>98000</v>
      </c>
      <c r="E285" s="188">
        <f t="shared" si="33"/>
        <v>98000</v>
      </c>
      <c r="F285" s="124"/>
      <c r="G285" s="124"/>
      <c r="H285" s="124">
        <v>98000</v>
      </c>
      <c r="I285" s="124"/>
      <c r="J285" s="124"/>
      <c r="K285" s="188">
        <f t="shared" si="35"/>
        <v>0</v>
      </c>
      <c r="L285" s="280"/>
      <c r="M285" s="281"/>
      <c r="N285" s="281"/>
      <c r="O285" s="300"/>
      <c r="P285" s="246"/>
      <c r="Q285" s="281"/>
      <c r="R285" s="284"/>
      <c r="S285" s="286">
        <v>0</v>
      </c>
      <c r="T285" s="313"/>
      <c r="U285" s="284"/>
      <c r="V285" s="281"/>
      <c r="W285" s="284"/>
    </row>
    <row r="286" spans="1:23" s="1" customFormat="1" ht="45">
      <c r="A286" s="506" t="s">
        <v>565</v>
      </c>
      <c r="B286" s="497" t="s">
        <v>572</v>
      </c>
      <c r="C286" s="507" t="s">
        <v>302</v>
      </c>
      <c r="D286" s="188">
        <f t="shared" si="32"/>
        <v>0</v>
      </c>
      <c r="E286" s="188">
        <f t="shared" si="33"/>
        <v>0</v>
      </c>
      <c r="F286" s="124"/>
      <c r="G286" s="124"/>
      <c r="H286" s="124"/>
      <c r="I286" s="124"/>
      <c r="J286" s="124"/>
      <c r="K286" s="188">
        <f t="shared" si="35"/>
        <v>0</v>
      </c>
      <c r="L286" s="280"/>
      <c r="M286" s="281"/>
      <c r="N286" s="281"/>
      <c r="O286" s="300"/>
      <c r="P286" s="246"/>
      <c r="Q286" s="281"/>
      <c r="R286" s="284"/>
      <c r="S286" s="286">
        <v>0</v>
      </c>
      <c r="T286" s="499"/>
      <c r="U286" s="284"/>
      <c r="V286" s="281"/>
      <c r="W286" s="284"/>
    </row>
    <row r="287" spans="1:23" s="266" customFormat="1" ht="33.75">
      <c r="A287" s="506" t="s">
        <v>566</v>
      </c>
      <c r="B287" s="497" t="s">
        <v>572</v>
      </c>
      <c r="C287" s="507" t="s">
        <v>176</v>
      </c>
      <c r="D287" s="188">
        <f t="shared" si="32"/>
        <v>61200</v>
      </c>
      <c r="E287" s="188">
        <f t="shared" si="33"/>
        <v>61200</v>
      </c>
      <c r="F287" s="124"/>
      <c r="G287" s="124"/>
      <c r="H287" s="124">
        <v>61200</v>
      </c>
      <c r="I287" s="124"/>
      <c r="J287" s="124"/>
      <c r="K287" s="188">
        <f t="shared" si="35"/>
        <v>0</v>
      </c>
      <c r="L287" s="280"/>
      <c r="M287" s="307"/>
      <c r="N287" s="281"/>
      <c r="O287" s="281"/>
      <c r="P287" s="246"/>
      <c r="Q287" s="281"/>
      <c r="R287" s="284"/>
      <c r="S287" s="286">
        <v>0</v>
      </c>
      <c r="T287" s="499"/>
      <c r="U287" s="284"/>
      <c r="V287" s="281"/>
      <c r="W287" s="284"/>
    </row>
    <row r="288" spans="1:23" s="301" customFormat="1">
      <c r="A288" s="506" t="s">
        <v>567</v>
      </c>
      <c r="B288" s="497" t="s">
        <v>572</v>
      </c>
      <c r="C288" s="507" t="s">
        <v>177</v>
      </c>
      <c r="D288" s="188">
        <f t="shared" si="32"/>
        <v>11000</v>
      </c>
      <c r="E288" s="188">
        <f t="shared" si="33"/>
        <v>11000</v>
      </c>
      <c r="F288" s="124"/>
      <c r="G288" s="124"/>
      <c r="H288" s="124">
        <v>11000</v>
      </c>
      <c r="I288" s="124"/>
      <c r="J288" s="124"/>
      <c r="K288" s="188">
        <f t="shared" si="35"/>
        <v>0</v>
      </c>
      <c r="L288" s="280"/>
      <c r="M288" s="281"/>
      <c r="N288" s="281"/>
      <c r="O288" s="300"/>
      <c r="P288" s="246"/>
      <c r="Q288" s="281"/>
      <c r="R288" s="284"/>
      <c r="S288" s="286">
        <v>0</v>
      </c>
      <c r="T288" s="499"/>
      <c r="U288" s="284"/>
      <c r="V288" s="281"/>
      <c r="W288" s="284"/>
    </row>
    <row r="289" spans="1:23" s="266" customFormat="1" ht="22.5">
      <c r="A289" s="506" t="s">
        <v>568</v>
      </c>
      <c r="B289" s="497" t="s">
        <v>572</v>
      </c>
      <c r="C289" s="507" t="s">
        <v>178</v>
      </c>
      <c r="D289" s="188">
        <f t="shared" si="32"/>
        <v>150000</v>
      </c>
      <c r="E289" s="188">
        <f t="shared" si="33"/>
        <v>150000</v>
      </c>
      <c r="F289" s="124"/>
      <c r="G289" s="124"/>
      <c r="H289" s="124">
        <v>150000</v>
      </c>
      <c r="I289" s="124"/>
      <c r="J289" s="124"/>
      <c r="K289" s="188">
        <f t="shared" si="35"/>
        <v>0</v>
      </c>
      <c r="L289" s="280"/>
      <c r="M289" s="281"/>
      <c r="N289" s="281"/>
      <c r="O289" s="300"/>
      <c r="P289" s="246"/>
      <c r="Q289" s="281"/>
      <c r="R289" s="284"/>
      <c r="S289" s="286">
        <v>0</v>
      </c>
      <c r="T289" s="499"/>
      <c r="U289" s="284"/>
      <c r="V289" s="281"/>
      <c r="W289" s="284"/>
    </row>
    <row r="290" spans="1:23" s="266" customFormat="1">
      <c r="A290" s="506" t="s">
        <v>569</v>
      </c>
      <c r="B290" s="497" t="s">
        <v>572</v>
      </c>
      <c r="C290" s="507" t="s">
        <v>179</v>
      </c>
      <c r="D290" s="188">
        <f t="shared" si="32"/>
        <v>134000</v>
      </c>
      <c r="E290" s="188">
        <f t="shared" si="33"/>
        <v>120000</v>
      </c>
      <c r="F290" s="124"/>
      <c r="G290" s="124"/>
      <c r="H290" s="124">
        <v>120000</v>
      </c>
      <c r="I290" s="124"/>
      <c r="J290" s="124"/>
      <c r="K290" s="188">
        <f t="shared" si="35"/>
        <v>14000</v>
      </c>
      <c r="L290" s="280">
        <v>4000</v>
      </c>
      <c r="M290" s="281"/>
      <c r="N290" s="281"/>
      <c r="O290" s="300"/>
      <c r="P290" s="280">
        <v>10000</v>
      </c>
      <c r="Q290" s="281"/>
      <c r="R290" s="284"/>
      <c r="S290" s="286">
        <v>0</v>
      </c>
      <c r="T290" s="499"/>
      <c r="U290" s="284"/>
      <c r="V290" s="281"/>
      <c r="W290" s="284"/>
    </row>
    <row r="291" spans="1:23" s="266" customFormat="1" ht="33.75">
      <c r="A291" s="506" t="s">
        <v>570</v>
      </c>
      <c r="B291" s="497" t="s">
        <v>572</v>
      </c>
      <c r="C291" s="507" t="s">
        <v>180</v>
      </c>
      <c r="D291" s="188">
        <f t="shared" si="32"/>
        <v>45000</v>
      </c>
      <c r="E291" s="188">
        <f t="shared" si="33"/>
        <v>45000</v>
      </c>
      <c r="F291" s="124"/>
      <c r="G291" s="124"/>
      <c r="H291" s="124">
        <v>45000</v>
      </c>
      <c r="I291" s="124"/>
      <c r="J291" s="124"/>
      <c r="K291" s="188">
        <f t="shared" si="35"/>
        <v>0</v>
      </c>
      <c r="L291" s="280"/>
      <c r="M291" s="281"/>
      <c r="N291" s="281"/>
      <c r="O291" s="300"/>
      <c r="P291" s="280"/>
      <c r="Q291" s="281"/>
      <c r="R291" s="284"/>
      <c r="S291" s="286">
        <v>0</v>
      </c>
      <c r="T291" s="499"/>
      <c r="U291" s="284"/>
      <c r="V291" s="281"/>
      <c r="W291" s="284"/>
    </row>
    <row r="292" spans="1:23" s="266" customFormat="1" ht="22.5">
      <c r="A292" s="506" t="s">
        <v>571</v>
      </c>
      <c r="B292" s="497" t="s">
        <v>572</v>
      </c>
      <c r="C292" s="507" t="s">
        <v>181</v>
      </c>
      <c r="D292" s="188">
        <f t="shared" si="32"/>
        <v>56000</v>
      </c>
      <c r="E292" s="188">
        <f t="shared" si="33"/>
        <v>31000</v>
      </c>
      <c r="F292" s="124"/>
      <c r="G292" s="124"/>
      <c r="H292" s="124">
        <v>31000</v>
      </c>
      <c r="I292" s="124"/>
      <c r="J292" s="124"/>
      <c r="K292" s="188">
        <f t="shared" si="35"/>
        <v>25000</v>
      </c>
      <c r="L292" s="280">
        <v>3000</v>
      </c>
      <c r="M292" s="307">
        <v>2000</v>
      </c>
      <c r="N292" s="281">
        <v>2000</v>
      </c>
      <c r="O292" s="300">
        <v>2000</v>
      </c>
      <c r="P292" s="280">
        <v>2000</v>
      </c>
      <c r="Q292" s="281">
        <v>2000</v>
      </c>
      <c r="R292" s="284">
        <v>2000</v>
      </c>
      <c r="S292" s="286">
        <v>2000</v>
      </c>
      <c r="T292" s="284">
        <v>2000</v>
      </c>
      <c r="U292" s="284">
        <v>2000</v>
      </c>
      <c r="V292" s="284">
        <v>2000</v>
      </c>
      <c r="W292" s="284">
        <v>2000</v>
      </c>
    </row>
    <row r="293" spans="1:23" s="304" customFormat="1">
      <c r="A293" s="508" t="s">
        <v>258</v>
      </c>
      <c r="B293" s="272" t="s">
        <v>572</v>
      </c>
      <c r="C293" s="509" t="s">
        <v>561</v>
      </c>
      <c r="D293" s="51">
        <f t="shared" si="32"/>
        <v>0</v>
      </c>
      <c r="E293" s="51">
        <f t="shared" si="33"/>
        <v>0</v>
      </c>
      <c r="F293" s="297"/>
      <c r="G293" s="297"/>
      <c r="H293" s="302"/>
      <c r="I293" s="302"/>
      <c r="J293" s="302"/>
      <c r="K293" s="51">
        <f t="shared" si="35"/>
        <v>0</v>
      </c>
      <c r="L293" s="303"/>
      <c r="M293" s="303"/>
      <c r="N293" s="303"/>
      <c r="O293" s="303"/>
      <c r="P293" s="303"/>
      <c r="Q293" s="303"/>
      <c r="R293" s="303"/>
      <c r="S293" s="303"/>
      <c r="T293" s="303"/>
      <c r="U293" s="303"/>
      <c r="V293" s="303"/>
      <c r="W293" s="303"/>
    </row>
    <row r="294" spans="1:23" s="305" customFormat="1">
      <c r="A294" s="510">
        <v>1</v>
      </c>
      <c r="B294" s="272" t="s">
        <v>572</v>
      </c>
      <c r="C294" s="505" t="s">
        <v>163</v>
      </c>
      <c r="D294" s="51">
        <f t="shared" si="32"/>
        <v>0</v>
      </c>
      <c r="E294" s="51">
        <f t="shared" si="33"/>
        <v>0</v>
      </c>
      <c r="F294" s="297"/>
      <c r="G294" s="297"/>
      <c r="H294" s="297"/>
      <c r="I294" s="297"/>
      <c r="J294" s="297"/>
      <c r="K294" s="51">
        <f t="shared" si="35"/>
        <v>0</v>
      </c>
      <c r="L294" s="298"/>
      <c r="M294" s="298"/>
      <c r="N294" s="298"/>
      <c r="O294" s="298"/>
      <c r="P294" s="298"/>
      <c r="Q294" s="298"/>
      <c r="R294" s="298"/>
      <c r="S294" s="298"/>
      <c r="T294" s="298"/>
      <c r="U294" s="298"/>
      <c r="V294" s="298"/>
      <c r="W294" s="298"/>
    </row>
    <row r="295" spans="1:23" s="266" customFormat="1" ht="22.5">
      <c r="A295" s="506" t="s">
        <v>147</v>
      </c>
      <c r="B295" s="497" t="s">
        <v>572</v>
      </c>
      <c r="C295" s="507" t="s">
        <v>274</v>
      </c>
      <c r="D295" s="188">
        <f t="shared" si="32"/>
        <v>221640</v>
      </c>
      <c r="E295" s="188">
        <f t="shared" si="33"/>
        <v>0</v>
      </c>
      <c r="F295" s="124"/>
      <c r="G295" s="124"/>
      <c r="H295" s="124"/>
      <c r="I295" s="124"/>
      <c r="J295" s="124"/>
      <c r="K295" s="188">
        <f t="shared" si="35"/>
        <v>221640</v>
      </c>
      <c r="L295" s="280">
        <v>33400</v>
      </c>
      <c r="M295" s="306"/>
      <c r="N295" s="281">
        <v>15000</v>
      </c>
      <c r="O295" s="300">
        <v>24500</v>
      </c>
      <c r="P295" s="285">
        <v>12800</v>
      </c>
      <c r="Q295" s="281">
        <v>14000</v>
      </c>
      <c r="R295" s="284">
        <v>30500</v>
      </c>
      <c r="S295" s="286">
        <v>18500</v>
      </c>
      <c r="T295" s="284">
        <v>22400</v>
      </c>
      <c r="U295" s="284">
        <v>16500</v>
      </c>
      <c r="V295" s="281">
        <v>17540</v>
      </c>
      <c r="W295" s="284">
        <v>16500</v>
      </c>
    </row>
    <row r="296" spans="1:23" s="266" customFormat="1" ht="22.5">
      <c r="A296" s="506" t="s">
        <v>150</v>
      </c>
      <c r="B296" s="497" t="s">
        <v>572</v>
      </c>
      <c r="C296" s="507" t="s">
        <v>164</v>
      </c>
      <c r="D296" s="188">
        <f t="shared" si="32"/>
        <v>53600</v>
      </c>
      <c r="E296" s="188">
        <f t="shared" si="33"/>
        <v>53600</v>
      </c>
      <c r="F296" s="124"/>
      <c r="G296" s="124"/>
      <c r="H296" s="124">
        <v>53600</v>
      </c>
      <c r="I296" s="124"/>
      <c r="J296" s="124"/>
      <c r="K296" s="188">
        <f t="shared" si="35"/>
        <v>0</v>
      </c>
      <c r="L296" s="280"/>
      <c r="M296" s="281"/>
      <c r="N296" s="281"/>
      <c r="O296" s="300"/>
      <c r="P296" s="246"/>
      <c r="Q296" s="281"/>
      <c r="R296" s="284"/>
      <c r="S296" s="286">
        <v>0</v>
      </c>
      <c r="T296" s="284"/>
      <c r="U296" s="284"/>
      <c r="V296" s="281"/>
      <c r="W296" s="284"/>
    </row>
    <row r="297" spans="1:23" s="266" customFormat="1" ht="22.5">
      <c r="A297" s="506" t="s">
        <v>289</v>
      </c>
      <c r="B297" s="497" t="s">
        <v>572</v>
      </c>
      <c r="C297" s="507" t="s">
        <v>165</v>
      </c>
      <c r="D297" s="188">
        <f t="shared" si="32"/>
        <v>3058320</v>
      </c>
      <c r="E297" s="188">
        <f t="shared" si="33"/>
        <v>2993250</v>
      </c>
      <c r="F297" s="124"/>
      <c r="G297" s="124"/>
      <c r="H297" s="124">
        <v>2993250</v>
      </c>
      <c r="I297" s="124"/>
      <c r="J297" s="124"/>
      <c r="K297" s="188">
        <f t="shared" si="35"/>
        <v>65070</v>
      </c>
      <c r="L297" s="280">
        <f>7500+2820</f>
        <v>10320</v>
      </c>
      <c r="M297" s="281">
        <v>2000</v>
      </c>
      <c r="N297" s="281">
        <v>8000</v>
      </c>
      <c r="O297" s="300">
        <v>9000</v>
      </c>
      <c r="P297" s="285">
        <v>2000</v>
      </c>
      <c r="Q297" s="281">
        <v>4500</v>
      </c>
      <c r="R297" s="284">
        <v>9000</v>
      </c>
      <c r="S297" s="286">
        <v>6000</v>
      </c>
      <c r="T297" s="284">
        <v>3000</v>
      </c>
      <c r="U297" s="284">
        <v>2250</v>
      </c>
      <c r="V297" s="281">
        <v>6300</v>
      </c>
      <c r="W297" s="284">
        <v>2700</v>
      </c>
    </row>
    <row r="298" spans="1:23" s="266" customFormat="1">
      <c r="A298" s="506" t="s">
        <v>152</v>
      </c>
      <c r="B298" s="497" t="s">
        <v>572</v>
      </c>
      <c r="C298" s="507" t="s">
        <v>300</v>
      </c>
      <c r="D298" s="188">
        <f t="shared" si="32"/>
        <v>68000</v>
      </c>
      <c r="E298" s="188">
        <f t="shared" si="33"/>
        <v>68000</v>
      </c>
      <c r="F298" s="124"/>
      <c r="G298" s="124"/>
      <c r="H298" s="124">
        <v>68000</v>
      </c>
      <c r="I298" s="124"/>
      <c r="J298" s="124"/>
      <c r="K298" s="188">
        <f t="shared" si="35"/>
        <v>0</v>
      </c>
      <c r="L298" s="280"/>
      <c r="M298" s="281"/>
      <c r="N298" s="281"/>
      <c r="O298" s="300"/>
      <c r="P298" s="246"/>
      <c r="Q298" s="281"/>
      <c r="R298" s="284"/>
      <c r="S298" s="286">
        <v>0</v>
      </c>
      <c r="T298" s="284"/>
      <c r="U298" s="284"/>
      <c r="V298" s="281"/>
      <c r="W298" s="284"/>
    </row>
    <row r="299" spans="1:23" s="266" customFormat="1" ht="33.75">
      <c r="A299" s="506" t="s">
        <v>154</v>
      </c>
      <c r="B299" s="497" t="s">
        <v>572</v>
      </c>
      <c r="C299" s="507" t="s">
        <v>201</v>
      </c>
      <c r="D299" s="188">
        <f t="shared" si="32"/>
        <v>287500</v>
      </c>
      <c r="E299" s="188">
        <f t="shared" si="33"/>
        <v>287500</v>
      </c>
      <c r="F299" s="124"/>
      <c r="G299" s="124"/>
      <c r="H299" s="124">
        <v>287500</v>
      </c>
      <c r="I299" s="124"/>
      <c r="J299" s="124"/>
      <c r="K299" s="188">
        <f t="shared" si="35"/>
        <v>0</v>
      </c>
      <c r="L299" s="124">
        <f t="shared" ref="L299:W299" si="36">SUM(L300:L301)</f>
        <v>0</v>
      </c>
      <c r="M299" s="124">
        <f t="shared" si="36"/>
        <v>0</v>
      </c>
      <c r="N299" s="124">
        <f t="shared" si="36"/>
        <v>0</v>
      </c>
      <c r="O299" s="124">
        <f t="shared" si="36"/>
        <v>0</v>
      </c>
      <c r="P299" s="124">
        <f t="shared" si="36"/>
        <v>0</v>
      </c>
      <c r="Q299" s="124">
        <f t="shared" si="36"/>
        <v>0</v>
      </c>
      <c r="R299" s="124">
        <f t="shared" si="36"/>
        <v>0</v>
      </c>
      <c r="S299" s="124">
        <f t="shared" si="36"/>
        <v>0</v>
      </c>
      <c r="T299" s="124">
        <f t="shared" si="36"/>
        <v>0</v>
      </c>
      <c r="U299" s="124">
        <f t="shared" si="36"/>
        <v>0</v>
      </c>
      <c r="V299" s="124">
        <f t="shared" si="36"/>
        <v>0</v>
      </c>
      <c r="W299" s="124">
        <f t="shared" si="36"/>
        <v>0</v>
      </c>
    </row>
    <row r="300" spans="1:23" s="266" customFormat="1" ht="33.75">
      <c r="A300" s="450"/>
      <c r="B300" s="497" t="s">
        <v>572</v>
      </c>
      <c r="C300" s="310" t="s">
        <v>202</v>
      </c>
      <c r="D300" s="188">
        <f t="shared" si="32"/>
        <v>230000</v>
      </c>
      <c r="E300" s="188">
        <f t="shared" si="33"/>
        <v>230000</v>
      </c>
      <c r="F300" s="124"/>
      <c r="G300" s="124"/>
      <c r="H300" s="124">
        <v>230000</v>
      </c>
      <c r="I300" s="124"/>
      <c r="J300" s="124"/>
      <c r="K300" s="188">
        <f t="shared" si="35"/>
        <v>0</v>
      </c>
      <c r="L300" s="294"/>
      <c r="M300" s="295"/>
      <c r="N300" s="295"/>
      <c r="O300" s="296"/>
      <c r="P300" s="294"/>
      <c r="Q300" s="296"/>
      <c r="R300" s="295"/>
      <c r="S300" s="296"/>
      <c r="T300" s="296"/>
      <c r="U300" s="296"/>
      <c r="V300" s="296"/>
      <c r="W300" s="296"/>
    </row>
    <row r="301" spans="1:23" s="266" customFormat="1">
      <c r="A301" s="450"/>
      <c r="B301" s="497" t="s">
        <v>572</v>
      </c>
      <c r="C301" s="310" t="s">
        <v>203</v>
      </c>
      <c r="D301" s="188">
        <f t="shared" si="32"/>
        <v>57500</v>
      </c>
      <c r="E301" s="188">
        <f t="shared" si="33"/>
        <v>57500</v>
      </c>
      <c r="F301" s="124"/>
      <c r="G301" s="124"/>
      <c r="H301" s="124">
        <v>57500</v>
      </c>
      <c r="I301" s="124"/>
      <c r="J301" s="124"/>
      <c r="K301" s="188">
        <f t="shared" si="35"/>
        <v>0</v>
      </c>
      <c r="L301" s="294"/>
      <c r="M301" s="295"/>
      <c r="N301" s="295"/>
      <c r="O301" s="296"/>
      <c r="P301" s="294"/>
      <c r="Q301" s="296"/>
      <c r="R301" s="295"/>
      <c r="S301" s="296"/>
      <c r="T301" s="296"/>
      <c r="U301" s="296"/>
      <c r="V301" s="296"/>
      <c r="W301" s="296"/>
    </row>
    <row r="302" spans="1:23" s="266" customFormat="1">
      <c r="A302" s="511"/>
      <c r="B302" s="497" t="s">
        <v>572</v>
      </c>
      <c r="C302" s="310"/>
      <c r="D302" s="188">
        <f t="shared" si="32"/>
        <v>0</v>
      </c>
      <c r="E302" s="188">
        <f t="shared" si="33"/>
        <v>0</v>
      </c>
      <c r="F302" s="124"/>
      <c r="G302" s="124"/>
      <c r="H302" s="124"/>
      <c r="I302" s="124"/>
      <c r="J302" s="124"/>
      <c r="K302" s="188">
        <f t="shared" si="35"/>
        <v>0</v>
      </c>
      <c r="L302" s="296"/>
      <c r="M302" s="296"/>
      <c r="N302" s="296"/>
      <c r="O302" s="296"/>
      <c r="P302" s="296"/>
      <c r="Q302" s="296"/>
      <c r="R302" s="296"/>
      <c r="S302" s="296"/>
      <c r="T302" s="296"/>
      <c r="U302" s="296"/>
      <c r="V302" s="296"/>
      <c r="W302" s="296"/>
    </row>
    <row r="303" spans="1:23" s="304" customFormat="1">
      <c r="A303" s="504" t="s">
        <v>564</v>
      </c>
      <c r="B303" s="272" t="s">
        <v>572</v>
      </c>
      <c r="C303" s="505" t="s">
        <v>562</v>
      </c>
      <c r="D303" s="51">
        <f t="shared" si="32"/>
        <v>0</v>
      </c>
      <c r="E303" s="51">
        <f t="shared" si="33"/>
        <v>0</v>
      </c>
      <c r="F303" s="297"/>
      <c r="G303" s="297"/>
      <c r="H303" s="297"/>
      <c r="I303" s="297"/>
      <c r="J303" s="297"/>
      <c r="K303" s="51">
        <f t="shared" si="35"/>
        <v>0</v>
      </c>
      <c r="L303" s="298"/>
      <c r="M303" s="298"/>
      <c r="N303" s="298"/>
      <c r="O303" s="298"/>
      <c r="P303" s="298"/>
      <c r="Q303" s="298"/>
      <c r="R303" s="298"/>
      <c r="S303" s="298"/>
      <c r="T303" s="298"/>
      <c r="U303" s="298"/>
      <c r="V303" s="298"/>
      <c r="W303" s="298"/>
    </row>
    <row r="304" spans="1:23" s="266" customFormat="1" ht="22.5">
      <c r="A304" s="506" t="s">
        <v>299</v>
      </c>
      <c r="B304" s="497" t="s">
        <v>572</v>
      </c>
      <c r="C304" s="507" t="s">
        <v>167</v>
      </c>
      <c r="D304" s="188">
        <f t="shared" si="32"/>
        <v>106596</v>
      </c>
      <c r="E304" s="188">
        <f t="shared" si="33"/>
        <v>0</v>
      </c>
      <c r="F304" s="124"/>
      <c r="G304" s="124"/>
      <c r="H304" s="124"/>
      <c r="I304" s="124"/>
      <c r="J304" s="124"/>
      <c r="K304" s="188">
        <f t="shared" si="35"/>
        <v>106596</v>
      </c>
      <c r="L304" s="280">
        <v>6600</v>
      </c>
      <c r="M304" s="307">
        <v>9620</v>
      </c>
      <c r="N304" s="281">
        <v>9000</v>
      </c>
      <c r="O304" s="300">
        <v>9000</v>
      </c>
      <c r="P304" s="285">
        <v>6800</v>
      </c>
      <c r="Q304" s="281">
        <v>9000</v>
      </c>
      <c r="R304" s="284">
        <v>9000</v>
      </c>
      <c r="S304" s="286">
        <v>9000</v>
      </c>
      <c r="T304" s="284">
        <v>4500</v>
      </c>
      <c r="U304" s="284">
        <v>9000</v>
      </c>
      <c r="V304" s="281">
        <v>16076</v>
      </c>
      <c r="W304" s="284">
        <v>9000</v>
      </c>
    </row>
    <row r="305" spans="1:23" s="308" customFormat="1">
      <c r="A305" s="506" t="s">
        <v>166</v>
      </c>
      <c r="B305" s="497" t="s">
        <v>572</v>
      </c>
      <c r="C305" s="507" t="s">
        <v>168</v>
      </c>
      <c r="D305" s="188">
        <f t="shared" si="32"/>
        <v>135800</v>
      </c>
      <c r="E305" s="188">
        <f t="shared" si="33"/>
        <v>0</v>
      </c>
      <c r="F305" s="124"/>
      <c r="G305" s="124"/>
      <c r="H305" s="124"/>
      <c r="I305" s="124"/>
      <c r="J305" s="124"/>
      <c r="K305" s="188">
        <f t="shared" si="35"/>
        <v>135800</v>
      </c>
      <c r="L305" s="280">
        <v>30000</v>
      </c>
      <c r="M305" s="281"/>
      <c r="N305" s="281">
        <v>12600</v>
      </c>
      <c r="O305" s="300">
        <v>15500</v>
      </c>
      <c r="P305" s="285">
        <v>20000</v>
      </c>
      <c r="Q305" s="281">
        <v>7500</v>
      </c>
      <c r="R305" s="284">
        <v>19000</v>
      </c>
      <c r="S305" s="286">
        <v>11400</v>
      </c>
      <c r="T305" s="284"/>
      <c r="U305" s="284">
        <v>9900</v>
      </c>
      <c r="V305" s="281"/>
      <c r="W305" s="284">
        <v>9900</v>
      </c>
    </row>
    <row r="306" spans="1:23" s="266" customFormat="1" ht="45">
      <c r="A306" s="506" t="s">
        <v>172</v>
      </c>
      <c r="B306" s="497" t="s">
        <v>572</v>
      </c>
      <c r="C306" s="507" t="s">
        <v>169</v>
      </c>
      <c r="D306" s="188">
        <f t="shared" si="32"/>
        <v>50000</v>
      </c>
      <c r="E306" s="188">
        <f t="shared" si="33"/>
        <v>50000</v>
      </c>
      <c r="F306" s="124"/>
      <c r="G306" s="124"/>
      <c r="H306" s="124">
        <v>50000</v>
      </c>
      <c r="I306" s="124"/>
      <c r="J306" s="124"/>
      <c r="K306" s="188">
        <f t="shared" si="35"/>
        <v>0</v>
      </c>
      <c r="L306" s="280"/>
      <c r="M306" s="281"/>
      <c r="N306" s="281"/>
      <c r="O306" s="300"/>
      <c r="P306" s="246"/>
      <c r="Q306" s="281"/>
      <c r="R306" s="284"/>
      <c r="S306" s="286"/>
      <c r="T306" s="284"/>
      <c r="U306" s="284"/>
      <c r="V306" s="281"/>
      <c r="W306" s="284"/>
    </row>
    <row r="307" spans="1:23" s="266" customFormat="1" ht="22.5">
      <c r="A307" s="506" t="s">
        <v>565</v>
      </c>
      <c r="B307" s="497" t="s">
        <v>572</v>
      </c>
      <c r="C307" s="507" t="s">
        <v>170</v>
      </c>
      <c r="D307" s="188">
        <f t="shared" si="32"/>
        <v>150000</v>
      </c>
      <c r="E307" s="188">
        <f t="shared" si="33"/>
        <v>150000</v>
      </c>
      <c r="F307" s="124"/>
      <c r="G307" s="124"/>
      <c r="H307" s="124">
        <v>150000</v>
      </c>
      <c r="I307" s="124"/>
      <c r="J307" s="124"/>
      <c r="K307" s="188">
        <f t="shared" si="35"/>
        <v>0</v>
      </c>
      <c r="L307" s="280"/>
      <c r="M307" s="281"/>
      <c r="N307" s="281"/>
      <c r="O307" s="300"/>
      <c r="P307" s="246"/>
      <c r="Q307" s="281"/>
      <c r="R307" s="284"/>
      <c r="S307" s="286"/>
      <c r="T307" s="284"/>
      <c r="U307" s="284"/>
      <c r="V307" s="281"/>
      <c r="W307" s="284"/>
    </row>
    <row r="308" spans="1:23" s="266" customFormat="1">
      <c r="A308" s="506" t="s">
        <v>566</v>
      </c>
      <c r="B308" s="497" t="s">
        <v>572</v>
      </c>
      <c r="C308" s="507" t="s">
        <v>171</v>
      </c>
      <c r="D308" s="188">
        <f t="shared" si="32"/>
        <v>372000</v>
      </c>
      <c r="E308" s="188">
        <f t="shared" si="33"/>
        <v>372000</v>
      </c>
      <c r="F308" s="124"/>
      <c r="G308" s="124"/>
      <c r="H308" s="124">
        <v>372000</v>
      </c>
      <c r="I308" s="124"/>
      <c r="J308" s="124"/>
      <c r="K308" s="188">
        <f t="shared" si="35"/>
        <v>0</v>
      </c>
      <c r="L308" s="309"/>
      <c r="M308" s="309"/>
      <c r="N308" s="309"/>
      <c r="O308" s="309"/>
      <c r="P308" s="309"/>
      <c r="Q308" s="309"/>
      <c r="R308" s="309"/>
      <c r="S308" s="309"/>
      <c r="T308" s="309"/>
      <c r="U308" s="309"/>
      <c r="V308" s="309"/>
      <c r="W308" s="309"/>
    </row>
    <row r="309" spans="1:23" s="304" customFormat="1">
      <c r="A309" s="512" t="s">
        <v>277</v>
      </c>
      <c r="B309" s="272" t="s">
        <v>572</v>
      </c>
      <c r="C309" s="513" t="s">
        <v>26</v>
      </c>
      <c r="D309" s="51">
        <f t="shared" si="32"/>
        <v>0</v>
      </c>
      <c r="E309" s="51">
        <f t="shared" si="33"/>
        <v>0</v>
      </c>
      <c r="F309" s="297"/>
      <c r="G309" s="297"/>
      <c r="H309" s="302"/>
      <c r="I309" s="302"/>
      <c r="J309" s="302"/>
      <c r="K309" s="51">
        <f t="shared" si="35"/>
        <v>0</v>
      </c>
      <c r="L309" s="303"/>
      <c r="M309" s="303"/>
      <c r="N309" s="303"/>
      <c r="O309" s="303"/>
      <c r="P309" s="303"/>
      <c r="Q309" s="303"/>
      <c r="R309" s="303"/>
      <c r="S309" s="303"/>
      <c r="T309" s="303"/>
      <c r="U309" s="303"/>
      <c r="V309" s="303"/>
      <c r="W309" s="303"/>
    </row>
    <row r="310" spans="1:23" s="266" customFormat="1" ht="22.5">
      <c r="A310" s="450">
        <v>1</v>
      </c>
      <c r="B310" s="497" t="s">
        <v>572</v>
      </c>
      <c r="C310" s="310" t="s">
        <v>275</v>
      </c>
      <c r="D310" s="188">
        <f t="shared" si="32"/>
        <v>476433</v>
      </c>
      <c r="E310" s="188">
        <f t="shared" si="33"/>
        <v>0</v>
      </c>
      <c r="F310" s="124"/>
      <c r="G310" s="124"/>
      <c r="H310" s="124"/>
      <c r="I310" s="124"/>
      <c r="J310" s="124"/>
      <c r="K310" s="188">
        <f t="shared" si="35"/>
        <v>476433</v>
      </c>
      <c r="L310" s="294">
        <v>91500</v>
      </c>
      <c r="M310" s="295">
        <v>11323</v>
      </c>
      <c r="N310" s="295">
        <v>48000</v>
      </c>
      <c r="O310" s="296">
        <v>54000</v>
      </c>
      <c r="P310" s="294">
        <v>20800</v>
      </c>
      <c r="Q310" s="296">
        <v>29300</v>
      </c>
      <c r="R310" s="295">
        <v>59300</v>
      </c>
      <c r="S310" s="296">
        <v>42750</v>
      </c>
      <c r="T310" s="499">
        <v>22400</v>
      </c>
      <c r="U310" s="296">
        <v>30740</v>
      </c>
      <c r="V310" s="295">
        <v>35100</v>
      </c>
      <c r="W310" s="296">
        <v>31220</v>
      </c>
    </row>
    <row r="311" spans="1:23" s="1" customFormat="1" ht="22.5">
      <c r="A311" s="450">
        <v>2</v>
      </c>
      <c r="B311" s="497" t="s">
        <v>572</v>
      </c>
      <c r="C311" s="310" t="s">
        <v>182</v>
      </c>
      <c r="D311" s="188">
        <f t="shared" si="32"/>
        <v>0</v>
      </c>
      <c r="E311" s="188">
        <f t="shared" si="33"/>
        <v>0</v>
      </c>
      <c r="F311" s="124"/>
      <c r="G311" s="124"/>
      <c r="H311" s="124"/>
      <c r="I311" s="124"/>
      <c r="J311" s="124"/>
      <c r="K311" s="188">
        <f t="shared" si="35"/>
        <v>0</v>
      </c>
      <c r="L311" s="294"/>
      <c r="M311" s="295"/>
      <c r="N311" s="295"/>
      <c r="O311" s="296"/>
      <c r="P311" s="294"/>
      <c r="Q311" s="296"/>
      <c r="R311" s="295"/>
      <c r="S311" s="296">
        <v>0</v>
      </c>
      <c r="T311" s="499"/>
      <c r="U311" s="296"/>
      <c r="V311" s="295"/>
      <c r="W311" s="296"/>
    </row>
    <row r="312" spans="1:23" s="1" customFormat="1" ht="22.5">
      <c r="A312" s="450">
        <v>3</v>
      </c>
      <c r="B312" s="497" t="s">
        <v>572</v>
      </c>
      <c r="C312" s="310" t="s">
        <v>183</v>
      </c>
      <c r="D312" s="188">
        <f t="shared" si="32"/>
        <v>194633</v>
      </c>
      <c r="E312" s="188">
        <f t="shared" si="33"/>
        <v>32000</v>
      </c>
      <c r="F312" s="124"/>
      <c r="G312" s="124"/>
      <c r="H312" s="124">
        <v>32000</v>
      </c>
      <c r="I312" s="124"/>
      <c r="J312" s="124"/>
      <c r="K312" s="188">
        <f t="shared" si="35"/>
        <v>162633</v>
      </c>
      <c r="L312" s="294">
        <v>14400</v>
      </c>
      <c r="M312" s="295">
        <v>17637</v>
      </c>
      <c r="N312" s="295">
        <v>6160</v>
      </c>
      <c r="O312" s="296">
        <v>45000</v>
      </c>
      <c r="P312" s="294">
        <v>41436</v>
      </c>
      <c r="Q312" s="296"/>
      <c r="R312" s="295"/>
      <c r="S312" s="296">
        <v>0</v>
      </c>
      <c r="T312" s="499">
        <v>22400</v>
      </c>
      <c r="U312" s="296"/>
      <c r="V312" s="295">
        <v>15600</v>
      </c>
      <c r="W312" s="296"/>
    </row>
    <row r="313" spans="1:23" s="1" customFormat="1" ht="22.5">
      <c r="A313" s="450">
        <v>4</v>
      </c>
      <c r="B313" s="497" t="s">
        <v>572</v>
      </c>
      <c r="C313" s="311" t="s">
        <v>184</v>
      </c>
      <c r="D313" s="188">
        <f t="shared" si="32"/>
        <v>41000</v>
      </c>
      <c r="E313" s="188">
        <f t="shared" si="33"/>
        <v>41000</v>
      </c>
      <c r="F313" s="124"/>
      <c r="G313" s="124"/>
      <c r="H313" s="124">
        <v>41000</v>
      </c>
      <c r="I313" s="124"/>
      <c r="J313" s="124"/>
      <c r="K313" s="188">
        <f t="shared" si="35"/>
        <v>0</v>
      </c>
      <c r="L313" s="294"/>
      <c r="M313" s="295"/>
      <c r="N313" s="295"/>
      <c r="O313" s="296"/>
      <c r="P313" s="294"/>
      <c r="Q313" s="296"/>
      <c r="R313" s="295"/>
      <c r="S313" s="296">
        <v>0</v>
      </c>
      <c r="T313" s="296"/>
      <c r="U313" s="296"/>
      <c r="V313" s="295"/>
      <c r="W313" s="296"/>
    </row>
    <row r="314" spans="1:23" s="1" customFormat="1" ht="33.75">
      <c r="A314" s="450">
        <v>5</v>
      </c>
      <c r="B314" s="497" t="s">
        <v>572</v>
      </c>
      <c r="C314" s="310" t="s">
        <v>276</v>
      </c>
      <c r="D314" s="188">
        <f t="shared" si="32"/>
        <v>131770</v>
      </c>
      <c r="E314" s="188">
        <f t="shared" si="33"/>
        <v>11200</v>
      </c>
      <c r="F314" s="124"/>
      <c r="G314" s="124"/>
      <c r="H314" s="124">
        <v>11200</v>
      </c>
      <c r="I314" s="124"/>
      <c r="J314" s="124"/>
      <c r="K314" s="188">
        <f t="shared" si="35"/>
        <v>120570</v>
      </c>
      <c r="L314" s="294">
        <v>17900</v>
      </c>
      <c r="M314" s="295">
        <v>2000</v>
      </c>
      <c r="N314" s="295">
        <v>20000</v>
      </c>
      <c r="O314" s="296">
        <v>54670</v>
      </c>
      <c r="P314" s="294">
        <v>12000</v>
      </c>
      <c r="Q314" s="296">
        <v>2000</v>
      </c>
      <c r="R314" s="295">
        <v>2000</v>
      </c>
      <c r="S314" s="296">
        <v>2000</v>
      </c>
      <c r="T314" s="296">
        <v>2000</v>
      </c>
      <c r="U314" s="296">
        <v>2000</v>
      </c>
      <c r="V314" s="296">
        <v>2000</v>
      </c>
      <c r="W314" s="296">
        <v>2000</v>
      </c>
    </row>
    <row r="315" spans="1:23" s="308" customFormat="1" ht="22.5">
      <c r="A315" s="307">
        <v>6</v>
      </c>
      <c r="B315" s="497" t="s">
        <v>572</v>
      </c>
      <c r="C315" s="514" t="s">
        <v>185</v>
      </c>
      <c r="D315" s="188">
        <f t="shared" si="32"/>
        <v>61500</v>
      </c>
      <c r="E315" s="188">
        <f t="shared" si="33"/>
        <v>0</v>
      </c>
      <c r="F315" s="124"/>
      <c r="G315" s="124"/>
      <c r="H315" s="124"/>
      <c r="I315" s="124"/>
      <c r="J315" s="124"/>
      <c r="K315" s="188">
        <f t="shared" si="35"/>
        <v>61500</v>
      </c>
      <c r="L315" s="312">
        <v>7500</v>
      </c>
      <c r="M315" s="313">
        <v>3000</v>
      </c>
      <c r="N315" s="313"/>
      <c r="O315" s="124">
        <v>15000</v>
      </c>
      <c r="P315" s="312"/>
      <c r="Q315" s="124">
        <v>5000</v>
      </c>
      <c r="R315" s="313">
        <v>8750</v>
      </c>
      <c r="S315" s="124">
        <v>6250</v>
      </c>
      <c r="T315" s="124">
        <v>6000</v>
      </c>
      <c r="U315" s="124">
        <v>5000</v>
      </c>
      <c r="V315" s="124"/>
      <c r="W315" s="124">
        <v>5000</v>
      </c>
    </row>
    <row r="316" spans="1:23" s="266" customFormat="1">
      <c r="A316" s="450">
        <v>7</v>
      </c>
      <c r="B316" s="497" t="s">
        <v>572</v>
      </c>
      <c r="C316" s="293" t="s">
        <v>290</v>
      </c>
      <c r="D316" s="188">
        <f t="shared" si="32"/>
        <v>0</v>
      </c>
      <c r="E316" s="188">
        <f t="shared" si="33"/>
        <v>0</v>
      </c>
      <c r="F316" s="124"/>
      <c r="G316" s="124"/>
      <c r="H316" s="124"/>
      <c r="I316" s="124"/>
      <c r="J316" s="124"/>
      <c r="K316" s="188">
        <f t="shared" si="35"/>
        <v>0</v>
      </c>
      <c r="L316" s="312"/>
      <c r="M316" s="313"/>
      <c r="N316" s="313"/>
      <c r="O316" s="124"/>
      <c r="P316" s="312"/>
      <c r="Q316" s="124"/>
      <c r="R316" s="313"/>
      <c r="S316" s="124"/>
      <c r="T316" s="124"/>
      <c r="U316" s="124"/>
      <c r="V316" s="124"/>
      <c r="W316" s="124"/>
    </row>
    <row r="317" spans="1:23" s="266" customFormat="1">
      <c r="A317" s="307">
        <v>8</v>
      </c>
      <c r="B317" s="497" t="s">
        <v>572</v>
      </c>
      <c r="C317" s="293" t="s">
        <v>292</v>
      </c>
      <c r="D317" s="188">
        <f t="shared" si="32"/>
        <v>0</v>
      </c>
      <c r="E317" s="188">
        <f t="shared" si="33"/>
        <v>0</v>
      </c>
      <c r="F317" s="124"/>
      <c r="G317" s="124"/>
      <c r="H317" s="124"/>
      <c r="I317" s="124"/>
      <c r="J317" s="124"/>
      <c r="K317" s="188">
        <f t="shared" si="35"/>
        <v>0</v>
      </c>
      <c r="L317" s="312"/>
      <c r="M317" s="313"/>
      <c r="N317" s="313"/>
      <c r="O317" s="124"/>
      <c r="P317" s="312"/>
      <c r="Q317" s="124"/>
      <c r="R317" s="313"/>
      <c r="S317" s="124"/>
      <c r="T317" s="124"/>
      <c r="U317" s="124"/>
      <c r="V317" s="124"/>
      <c r="W317" s="124"/>
    </row>
    <row r="318" spans="1:23" s="266" customFormat="1">
      <c r="A318" s="450">
        <v>9</v>
      </c>
      <c r="B318" s="497" t="s">
        <v>572</v>
      </c>
      <c r="C318" s="293" t="s">
        <v>291</v>
      </c>
      <c r="D318" s="188">
        <f t="shared" si="32"/>
        <v>0</v>
      </c>
      <c r="E318" s="188">
        <f t="shared" si="33"/>
        <v>0</v>
      </c>
      <c r="F318" s="124"/>
      <c r="G318" s="124"/>
      <c r="H318" s="124"/>
      <c r="I318" s="124"/>
      <c r="J318" s="124"/>
      <c r="K318" s="188">
        <f t="shared" si="35"/>
        <v>0</v>
      </c>
      <c r="L318" s="312"/>
      <c r="M318" s="313"/>
      <c r="N318" s="313"/>
      <c r="O318" s="124"/>
      <c r="P318" s="312"/>
      <c r="Q318" s="124"/>
      <c r="R318" s="313"/>
      <c r="S318" s="124"/>
      <c r="T318" s="124"/>
      <c r="U318" s="124"/>
      <c r="V318" s="124"/>
      <c r="W318" s="124"/>
    </row>
    <row r="319" spans="1:23" s="35" customFormat="1" ht="21">
      <c r="A319" s="515">
        <v>7</v>
      </c>
      <c r="B319" s="516" t="s">
        <v>4</v>
      </c>
      <c r="C319" s="314" t="s">
        <v>25</v>
      </c>
      <c r="D319" s="51">
        <f t="shared" si="32"/>
        <v>734073</v>
      </c>
      <c r="E319" s="51">
        <f t="shared" si="33"/>
        <v>196899</v>
      </c>
      <c r="F319" s="96">
        <f>SUM(F320:F330)</f>
        <v>0</v>
      </c>
      <c r="G319" s="96">
        <f t="shared" ref="G319:W319" si="37">SUM(G320:G330)</f>
        <v>0</v>
      </c>
      <c r="H319" s="96">
        <f t="shared" si="37"/>
        <v>0</v>
      </c>
      <c r="I319" s="96">
        <f t="shared" si="37"/>
        <v>0</v>
      </c>
      <c r="J319" s="96">
        <f t="shared" si="37"/>
        <v>196899</v>
      </c>
      <c r="K319" s="51">
        <f t="shared" si="35"/>
        <v>537174</v>
      </c>
      <c r="L319" s="96">
        <f t="shared" si="37"/>
        <v>187571</v>
      </c>
      <c r="M319" s="96">
        <f t="shared" si="37"/>
        <v>15200</v>
      </c>
      <c r="N319" s="96">
        <f t="shared" si="37"/>
        <v>9678</v>
      </c>
      <c r="O319" s="96">
        <f t="shared" si="37"/>
        <v>129000</v>
      </c>
      <c r="P319" s="96">
        <f t="shared" si="37"/>
        <v>24080</v>
      </c>
      <c r="Q319" s="96">
        <f t="shared" si="37"/>
        <v>41826</v>
      </c>
      <c r="R319" s="96">
        <f t="shared" si="37"/>
        <v>46079</v>
      </c>
      <c r="S319" s="96">
        <f t="shared" si="37"/>
        <v>0</v>
      </c>
      <c r="T319" s="96">
        <f t="shared" si="37"/>
        <v>20460</v>
      </c>
      <c r="U319" s="96">
        <f t="shared" si="37"/>
        <v>31950</v>
      </c>
      <c r="V319" s="96">
        <f t="shared" si="37"/>
        <v>9970</v>
      </c>
      <c r="W319" s="96">
        <f t="shared" si="37"/>
        <v>21360</v>
      </c>
    </row>
    <row r="320" spans="1:23" s="266" customFormat="1">
      <c r="A320" s="517">
        <v>1</v>
      </c>
      <c r="B320" s="518" t="s">
        <v>4</v>
      </c>
      <c r="C320" s="519" t="s">
        <v>92</v>
      </c>
      <c r="D320" s="188">
        <f t="shared" si="32"/>
        <v>289865</v>
      </c>
      <c r="E320" s="188">
        <f t="shared" si="33"/>
        <v>110939</v>
      </c>
      <c r="F320" s="53"/>
      <c r="G320" s="53"/>
      <c r="H320" s="53"/>
      <c r="I320" s="53"/>
      <c r="J320" s="57">
        <f>8954+70340+21520+5701+4424</f>
        <v>110939</v>
      </c>
      <c r="K320" s="188">
        <f t="shared" si="35"/>
        <v>178926</v>
      </c>
      <c r="L320" s="57">
        <v>64680</v>
      </c>
      <c r="M320" s="57">
        <v>8000</v>
      </c>
      <c r="N320" s="315">
        <v>900</v>
      </c>
      <c r="O320" s="296">
        <v>15000</v>
      </c>
      <c r="P320" s="315">
        <v>24080</v>
      </c>
      <c r="Q320" s="57">
        <v>13826</v>
      </c>
      <c r="R320" s="57"/>
      <c r="S320" s="57"/>
      <c r="T320" s="315">
        <v>3060</v>
      </c>
      <c r="U320" s="315">
        <v>29950</v>
      </c>
      <c r="V320" s="315">
        <v>2800</v>
      </c>
      <c r="W320" s="57">
        <v>16630</v>
      </c>
    </row>
    <row r="321" spans="1:23" s="266" customFormat="1">
      <c r="A321" s="517">
        <v>3</v>
      </c>
      <c r="B321" s="518" t="s">
        <v>4</v>
      </c>
      <c r="C321" s="519" t="s">
        <v>194</v>
      </c>
      <c r="D321" s="188">
        <f t="shared" si="32"/>
        <v>77540</v>
      </c>
      <c r="E321" s="188">
        <f t="shared" si="33"/>
        <v>57540</v>
      </c>
      <c r="F321" s="53"/>
      <c r="G321" s="53"/>
      <c r="H321" s="53"/>
      <c r="I321" s="53"/>
      <c r="J321" s="57">
        <v>57540</v>
      </c>
      <c r="K321" s="188">
        <f t="shared" si="35"/>
        <v>20000</v>
      </c>
      <c r="L321" s="57">
        <v>10271</v>
      </c>
      <c r="M321" s="57"/>
      <c r="N321" s="315"/>
      <c r="O321" s="296"/>
      <c r="P321" s="315"/>
      <c r="Q321" s="57"/>
      <c r="R321" s="57">
        <v>6429</v>
      </c>
      <c r="S321" s="57"/>
      <c r="T321" s="315">
        <v>600</v>
      </c>
      <c r="U321" s="315">
        <v>2000</v>
      </c>
      <c r="V321" s="315">
        <v>450</v>
      </c>
      <c r="W321" s="57">
        <v>250</v>
      </c>
    </row>
    <row r="322" spans="1:23" s="266" customFormat="1">
      <c r="A322" s="517">
        <v>4</v>
      </c>
      <c r="B322" s="518" t="s">
        <v>4</v>
      </c>
      <c r="C322" s="519" t="s">
        <v>195</v>
      </c>
      <c r="D322" s="188">
        <f t="shared" si="32"/>
        <v>179698</v>
      </c>
      <c r="E322" s="188">
        <f t="shared" si="33"/>
        <v>0</v>
      </c>
      <c r="F322" s="53"/>
      <c r="G322" s="53"/>
      <c r="H322" s="53"/>
      <c r="I322" s="53"/>
      <c r="J322" s="57"/>
      <c r="K322" s="188">
        <f t="shared" si="35"/>
        <v>179698</v>
      </c>
      <c r="L322" s="57">
        <v>55020</v>
      </c>
      <c r="M322" s="57"/>
      <c r="N322" s="315">
        <v>3778</v>
      </c>
      <c r="O322" s="296">
        <v>97500</v>
      </c>
      <c r="P322" s="315"/>
      <c r="Q322" s="57">
        <v>13000</v>
      </c>
      <c r="R322" s="57">
        <v>10400</v>
      </c>
      <c r="S322" s="57"/>
      <c r="T322" s="315"/>
      <c r="U322" s="315"/>
      <c r="V322" s="315"/>
      <c r="W322" s="57">
        <v>0</v>
      </c>
    </row>
    <row r="323" spans="1:23" s="266" customFormat="1" ht="22.5">
      <c r="A323" s="517">
        <v>5</v>
      </c>
      <c r="B323" s="518" t="s">
        <v>4</v>
      </c>
      <c r="C323" s="519" t="s">
        <v>196</v>
      </c>
      <c r="D323" s="188">
        <f t="shared" si="32"/>
        <v>135170</v>
      </c>
      <c r="E323" s="188">
        <f t="shared" si="33"/>
        <v>0</v>
      </c>
      <c r="F323" s="53"/>
      <c r="G323" s="53"/>
      <c r="H323" s="53"/>
      <c r="I323" s="53"/>
      <c r="J323" s="57"/>
      <c r="K323" s="188">
        <f t="shared" si="35"/>
        <v>135170</v>
      </c>
      <c r="L323" s="57">
        <v>57600</v>
      </c>
      <c r="M323" s="57">
        <v>7200</v>
      </c>
      <c r="N323" s="315">
        <v>5000</v>
      </c>
      <c r="O323" s="296"/>
      <c r="P323" s="315"/>
      <c r="Q323" s="57">
        <v>15000</v>
      </c>
      <c r="R323" s="57">
        <v>29250</v>
      </c>
      <c r="S323" s="57"/>
      <c r="T323" s="315">
        <v>16800</v>
      </c>
      <c r="U323" s="315"/>
      <c r="V323" s="315">
        <v>4320</v>
      </c>
      <c r="W323" s="57">
        <v>0</v>
      </c>
    </row>
    <row r="324" spans="1:23" s="266" customFormat="1">
      <c r="A324" s="517">
        <v>6</v>
      </c>
      <c r="B324" s="518" t="s">
        <v>4</v>
      </c>
      <c r="C324" s="519" t="s">
        <v>197</v>
      </c>
      <c r="D324" s="188">
        <f t="shared" si="32"/>
        <v>6880</v>
      </c>
      <c r="E324" s="188">
        <f t="shared" si="33"/>
        <v>0</v>
      </c>
      <c r="F324" s="53"/>
      <c r="G324" s="53"/>
      <c r="H324" s="53"/>
      <c r="I324" s="53"/>
      <c r="J324" s="57"/>
      <c r="K324" s="188">
        <f t="shared" si="35"/>
        <v>6880</v>
      </c>
      <c r="L324" s="57">
        <v>0</v>
      </c>
      <c r="M324" s="57"/>
      <c r="N324" s="315"/>
      <c r="O324" s="296"/>
      <c r="P324" s="315"/>
      <c r="Q324" s="57">
        <v>0</v>
      </c>
      <c r="R324" s="57"/>
      <c r="S324" s="57"/>
      <c r="T324" s="315"/>
      <c r="U324" s="315"/>
      <c r="V324" s="315">
        <v>2400</v>
      </c>
      <c r="W324" s="57">
        <v>4480</v>
      </c>
    </row>
    <row r="325" spans="1:23" s="266" customFormat="1">
      <c r="A325" s="517">
        <v>7</v>
      </c>
      <c r="B325" s="518" t="s">
        <v>4</v>
      </c>
      <c r="C325" s="519" t="s">
        <v>198</v>
      </c>
      <c r="D325" s="188">
        <f t="shared" si="32"/>
        <v>44920</v>
      </c>
      <c r="E325" s="188">
        <f t="shared" si="33"/>
        <v>28420</v>
      </c>
      <c r="F325" s="53"/>
      <c r="G325" s="53"/>
      <c r="H325" s="53"/>
      <c r="I325" s="53"/>
      <c r="J325" s="57">
        <f>23750+4670</f>
        <v>28420</v>
      </c>
      <c r="K325" s="188">
        <f t="shared" si="35"/>
        <v>16500</v>
      </c>
      <c r="L325" s="57">
        <v>0</v>
      </c>
      <c r="M325" s="57"/>
      <c r="N325" s="315"/>
      <c r="O325" s="296">
        <v>16500</v>
      </c>
      <c r="P325" s="315"/>
      <c r="Q325" s="57">
        <v>0</v>
      </c>
      <c r="R325" s="57"/>
      <c r="S325" s="57"/>
      <c r="T325" s="315"/>
      <c r="U325" s="315"/>
      <c r="V325" s="315"/>
      <c r="W325" s="57">
        <v>0</v>
      </c>
    </row>
    <row r="326" spans="1:23" s="266" customFormat="1">
      <c r="A326" s="517">
        <v>8</v>
      </c>
      <c r="B326" s="518" t="s">
        <v>4</v>
      </c>
      <c r="C326" s="519" t="s">
        <v>199</v>
      </c>
      <c r="D326" s="188">
        <f t="shared" si="32"/>
        <v>0</v>
      </c>
      <c r="E326" s="188">
        <f t="shared" si="33"/>
        <v>0</v>
      </c>
      <c r="F326" s="53"/>
      <c r="G326" s="53"/>
      <c r="H326" s="53"/>
      <c r="I326" s="53"/>
      <c r="J326" s="57"/>
      <c r="K326" s="188">
        <f t="shared" si="35"/>
        <v>0</v>
      </c>
      <c r="L326" s="57">
        <v>0</v>
      </c>
      <c r="M326" s="57"/>
      <c r="N326" s="315"/>
      <c r="O326" s="296"/>
      <c r="P326" s="315"/>
      <c r="Q326" s="57">
        <v>0</v>
      </c>
      <c r="R326" s="57"/>
      <c r="S326" s="57"/>
      <c r="T326" s="315"/>
      <c r="U326" s="315"/>
      <c r="V326" s="315"/>
      <c r="W326" s="57">
        <v>0</v>
      </c>
    </row>
    <row r="327" spans="1:23" s="266" customFormat="1" ht="22.5">
      <c r="A327" s="517">
        <v>9</v>
      </c>
      <c r="B327" s="518" t="s">
        <v>4</v>
      </c>
      <c r="C327" s="519" t="s">
        <v>200</v>
      </c>
      <c r="D327" s="188">
        <f t="shared" si="32"/>
        <v>0</v>
      </c>
      <c r="E327" s="188">
        <f t="shared" si="33"/>
        <v>0</v>
      </c>
      <c r="F327" s="53"/>
      <c r="G327" s="53"/>
      <c r="H327" s="53"/>
      <c r="I327" s="53"/>
      <c r="J327" s="57"/>
      <c r="K327" s="188">
        <f t="shared" si="35"/>
        <v>0</v>
      </c>
      <c r="L327" s="57">
        <v>0</v>
      </c>
      <c r="M327" s="57"/>
      <c r="N327" s="315"/>
      <c r="O327" s="296"/>
      <c r="P327" s="315"/>
      <c r="Q327" s="57">
        <v>0</v>
      </c>
      <c r="R327" s="57"/>
      <c r="S327" s="57"/>
      <c r="T327" s="315"/>
      <c r="U327" s="315"/>
      <c r="V327" s="315"/>
      <c r="W327" s="57">
        <v>0</v>
      </c>
    </row>
    <row r="328" spans="1:23" s="266" customFormat="1">
      <c r="A328" s="517">
        <v>10</v>
      </c>
      <c r="B328" s="518" t="s">
        <v>4</v>
      </c>
      <c r="C328" s="316" t="s">
        <v>290</v>
      </c>
      <c r="D328" s="188">
        <f t="shared" si="32"/>
        <v>0</v>
      </c>
      <c r="E328" s="188">
        <f t="shared" si="33"/>
        <v>0</v>
      </c>
      <c r="F328" s="53"/>
      <c r="G328" s="53"/>
      <c r="H328" s="53"/>
      <c r="I328" s="53"/>
      <c r="J328" s="57"/>
      <c r="K328" s="188">
        <f t="shared" si="35"/>
        <v>0</v>
      </c>
      <c r="L328" s="57">
        <v>0</v>
      </c>
      <c r="M328" s="57"/>
      <c r="N328" s="315"/>
      <c r="O328" s="296"/>
      <c r="P328" s="315"/>
      <c r="Q328" s="57">
        <v>0</v>
      </c>
      <c r="R328" s="57"/>
      <c r="S328" s="57"/>
      <c r="T328" s="315"/>
      <c r="U328" s="315"/>
      <c r="V328" s="315"/>
      <c r="W328" s="57">
        <v>0</v>
      </c>
    </row>
    <row r="329" spans="1:23" s="266" customFormat="1">
      <c r="A329" s="517">
        <v>11</v>
      </c>
      <c r="B329" s="518" t="s">
        <v>4</v>
      </c>
      <c r="C329" s="316" t="s">
        <v>292</v>
      </c>
      <c r="D329" s="188">
        <f t="shared" si="32"/>
        <v>0</v>
      </c>
      <c r="E329" s="188">
        <f t="shared" si="33"/>
        <v>0</v>
      </c>
      <c r="F329" s="53"/>
      <c r="G329" s="53"/>
      <c r="H329" s="53"/>
      <c r="I329" s="53"/>
      <c r="J329" s="57"/>
      <c r="K329" s="188">
        <f t="shared" si="35"/>
        <v>0</v>
      </c>
      <c r="L329" s="57">
        <v>0</v>
      </c>
      <c r="M329" s="57"/>
      <c r="N329" s="315"/>
      <c r="O329" s="296"/>
      <c r="P329" s="315"/>
      <c r="Q329" s="57">
        <v>0</v>
      </c>
      <c r="R329" s="57"/>
      <c r="S329" s="57"/>
      <c r="T329" s="315"/>
      <c r="U329" s="315"/>
      <c r="V329" s="315"/>
      <c r="W329" s="57">
        <v>0</v>
      </c>
    </row>
    <row r="330" spans="1:23" s="266" customFormat="1">
      <c r="A330" s="517">
        <v>12</v>
      </c>
      <c r="B330" s="518" t="s">
        <v>4</v>
      </c>
      <c r="C330" s="316" t="s">
        <v>291</v>
      </c>
      <c r="D330" s="188">
        <f t="shared" ref="D330:D393" si="38">E330+K330</f>
        <v>0</v>
      </c>
      <c r="E330" s="188">
        <f t="shared" ref="E330:E393" si="39">SUM(F330:J330)</f>
        <v>0</v>
      </c>
      <c r="F330" s="53"/>
      <c r="G330" s="53"/>
      <c r="H330" s="53"/>
      <c r="I330" s="53"/>
      <c r="J330" s="57"/>
      <c r="K330" s="188">
        <f t="shared" ref="K330:K393" si="40">SUM(L330:W330)</f>
        <v>0</v>
      </c>
      <c r="L330" s="57">
        <v>0</v>
      </c>
      <c r="M330" s="57"/>
      <c r="N330" s="315"/>
      <c r="O330" s="296"/>
      <c r="P330" s="315"/>
      <c r="Q330" s="57">
        <v>0</v>
      </c>
      <c r="R330" s="57"/>
      <c r="S330" s="57"/>
      <c r="T330" s="315"/>
      <c r="U330" s="315"/>
      <c r="V330" s="315"/>
      <c r="W330" s="57">
        <v>0</v>
      </c>
    </row>
    <row r="331" spans="1:23" s="35" customFormat="1" ht="10.5">
      <c r="A331" s="317">
        <v>8</v>
      </c>
      <c r="B331" s="318" t="s">
        <v>34</v>
      </c>
      <c r="C331" s="129" t="s">
        <v>533</v>
      </c>
      <c r="D331" s="51">
        <f t="shared" si="38"/>
        <v>2004985.04</v>
      </c>
      <c r="E331" s="51">
        <f t="shared" si="39"/>
        <v>358650</v>
      </c>
      <c r="F331" s="96">
        <f>SUM(F332:F358)</f>
        <v>358650</v>
      </c>
      <c r="G331" s="96">
        <f t="shared" ref="G331:W331" si="41">SUM(G332:G358)</f>
        <v>0</v>
      </c>
      <c r="H331" s="96">
        <f t="shared" si="41"/>
        <v>0</v>
      </c>
      <c r="I331" s="96">
        <f t="shared" si="41"/>
        <v>0</v>
      </c>
      <c r="J331" s="96">
        <f t="shared" si="41"/>
        <v>0</v>
      </c>
      <c r="K331" s="51">
        <f t="shared" si="40"/>
        <v>1646335.04</v>
      </c>
      <c r="L331" s="96">
        <f t="shared" si="41"/>
        <v>229848</v>
      </c>
      <c r="M331" s="96">
        <f t="shared" si="41"/>
        <v>62900</v>
      </c>
      <c r="N331" s="96">
        <f t="shared" si="41"/>
        <v>143565</v>
      </c>
      <c r="O331" s="96">
        <f t="shared" si="41"/>
        <v>35600</v>
      </c>
      <c r="P331" s="96">
        <f t="shared" si="41"/>
        <v>95136</v>
      </c>
      <c r="Q331" s="96">
        <f t="shared" si="41"/>
        <v>54400</v>
      </c>
      <c r="R331" s="96">
        <f t="shared" si="41"/>
        <v>52455</v>
      </c>
      <c r="S331" s="96">
        <f t="shared" si="41"/>
        <v>87264</v>
      </c>
      <c r="T331" s="96">
        <f t="shared" si="41"/>
        <v>666967.04000000004</v>
      </c>
      <c r="U331" s="96">
        <f t="shared" si="41"/>
        <v>69570</v>
      </c>
      <c r="V331" s="96">
        <f t="shared" si="41"/>
        <v>83230</v>
      </c>
      <c r="W331" s="96">
        <f t="shared" si="41"/>
        <v>65400</v>
      </c>
    </row>
    <row r="332" spans="1:23">
      <c r="A332" s="234">
        <v>1</v>
      </c>
      <c r="B332" s="319" t="s">
        <v>34</v>
      </c>
      <c r="C332" s="183" t="s">
        <v>99</v>
      </c>
      <c r="D332" s="51">
        <f t="shared" si="38"/>
        <v>21400</v>
      </c>
      <c r="E332" s="51">
        <f t="shared" si="39"/>
        <v>21400</v>
      </c>
      <c r="F332" s="135">
        <v>21400</v>
      </c>
      <c r="G332" s="135"/>
      <c r="H332" s="135"/>
      <c r="I332" s="135"/>
      <c r="J332" s="135"/>
      <c r="K332" s="51">
        <f t="shared" si="40"/>
        <v>0</v>
      </c>
      <c r="L332" s="136"/>
      <c r="M332" s="147"/>
      <c r="N332" s="145"/>
      <c r="O332" s="145"/>
      <c r="P332" s="152"/>
      <c r="Q332" s="145"/>
      <c r="R332" s="147"/>
      <c r="S332" s="145"/>
      <c r="T332" s="320"/>
      <c r="U332" s="145"/>
      <c r="V332" s="145"/>
      <c r="W332" s="137"/>
    </row>
    <row r="333" spans="1:23">
      <c r="A333" s="234">
        <v>2</v>
      </c>
      <c r="B333" s="319" t="s">
        <v>34</v>
      </c>
      <c r="C333" s="183" t="s">
        <v>587</v>
      </c>
      <c r="D333" s="51">
        <f t="shared" si="38"/>
        <v>21400</v>
      </c>
      <c r="E333" s="51">
        <f t="shared" si="39"/>
        <v>21400</v>
      </c>
      <c r="F333" s="135">
        <v>21400</v>
      </c>
      <c r="G333" s="135"/>
      <c r="H333" s="135"/>
      <c r="I333" s="135"/>
      <c r="J333" s="135"/>
      <c r="K333" s="51">
        <f t="shared" si="40"/>
        <v>0</v>
      </c>
      <c r="L333" s="136"/>
      <c r="M333" s="147"/>
      <c r="N333" s="321"/>
      <c r="O333" s="321"/>
      <c r="P333" s="152"/>
      <c r="Q333" s="321"/>
      <c r="R333" s="147"/>
      <c r="S333" s="321"/>
      <c r="T333" s="322"/>
      <c r="U333" s="321"/>
      <c r="V333" s="321"/>
      <c r="W333" s="190"/>
    </row>
    <row r="334" spans="1:23" ht="22.5">
      <c r="A334" s="234">
        <v>3</v>
      </c>
      <c r="B334" s="319" t="s">
        <v>34</v>
      </c>
      <c r="C334" s="183" t="s">
        <v>100</v>
      </c>
      <c r="D334" s="51">
        <f t="shared" si="38"/>
        <v>230520</v>
      </c>
      <c r="E334" s="51">
        <f t="shared" si="39"/>
        <v>0</v>
      </c>
      <c r="F334" s="135"/>
      <c r="G334" s="135"/>
      <c r="H334" s="135"/>
      <c r="I334" s="135"/>
      <c r="J334" s="135"/>
      <c r="K334" s="51">
        <f t="shared" si="40"/>
        <v>230520</v>
      </c>
      <c r="L334" s="136">
        <v>19200</v>
      </c>
      <c r="M334" s="147">
        <v>18000</v>
      </c>
      <c r="N334" s="147">
        <v>18000</v>
      </c>
      <c r="O334" s="147">
        <v>18000</v>
      </c>
      <c r="P334" s="152">
        <v>16800</v>
      </c>
      <c r="Q334" s="147">
        <v>22720</v>
      </c>
      <c r="R334" s="147"/>
      <c r="S334" s="147">
        <v>9900</v>
      </c>
      <c r="T334" s="322">
        <v>51200</v>
      </c>
      <c r="U334" s="147">
        <v>32400</v>
      </c>
      <c r="V334" s="147">
        <v>8100</v>
      </c>
      <c r="W334" s="105">
        <v>16200</v>
      </c>
    </row>
    <row r="335" spans="1:23" ht="33.75">
      <c r="A335" s="234">
        <v>4</v>
      </c>
      <c r="B335" s="319" t="s">
        <v>34</v>
      </c>
      <c r="C335" s="183" t="s">
        <v>101</v>
      </c>
      <c r="D335" s="51">
        <f t="shared" si="38"/>
        <v>251048</v>
      </c>
      <c r="E335" s="51">
        <f t="shared" si="39"/>
        <v>49600</v>
      </c>
      <c r="F335" s="135">
        <v>49600</v>
      </c>
      <c r="G335" s="135"/>
      <c r="H335" s="135"/>
      <c r="I335" s="135"/>
      <c r="J335" s="135"/>
      <c r="K335" s="51">
        <f t="shared" si="40"/>
        <v>201448</v>
      </c>
      <c r="L335" s="255">
        <v>176248</v>
      </c>
      <c r="M335" s="147"/>
      <c r="N335" s="152">
        <v>5200</v>
      </c>
      <c r="O335" s="147"/>
      <c r="P335" s="152">
        <v>20000</v>
      </c>
      <c r="Q335" s="152"/>
      <c r="R335" s="147"/>
      <c r="S335" s="152"/>
      <c r="T335" s="322"/>
      <c r="U335" s="152"/>
      <c r="V335" s="152"/>
      <c r="W335" s="135"/>
    </row>
    <row r="336" spans="1:23" ht="22.5">
      <c r="A336" s="234">
        <v>5</v>
      </c>
      <c r="B336" s="319" t="s">
        <v>34</v>
      </c>
      <c r="C336" s="183" t="s">
        <v>588</v>
      </c>
      <c r="D336" s="51">
        <f t="shared" si="38"/>
        <v>577805</v>
      </c>
      <c r="E336" s="51">
        <f t="shared" si="39"/>
        <v>0</v>
      </c>
      <c r="F336" s="135"/>
      <c r="G336" s="135"/>
      <c r="H336" s="135"/>
      <c r="I336" s="135"/>
      <c r="J336" s="135"/>
      <c r="K336" s="51">
        <f t="shared" si="40"/>
        <v>577805</v>
      </c>
      <c r="L336" s="255">
        <v>26300</v>
      </c>
      <c r="M336" s="147">
        <v>29000</v>
      </c>
      <c r="N336" s="152">
        <v>50000</v>
      </c>
      <c r="O336" s="147">
        <v>17600</v>
      </c>
      <c r="P336" s="152">
        <v>19000</v>
      </c>
      <c r="Q336" s="152">
        <v>1000</v>
      </c>
      <c r="R336" s="147">
        <v>13475</v>
      </c>
      <c r="S336" s="152">
        <v>45160</v>
      </c>
      <c r="T336" s="322">
        <v>342000</v>
      </c>
      <c r="U336" s="152">
        <v>1290</v>
      </c>
      <c r="V336" s="152">
        <v>16080</v>
      </c>
      <c r="W336" s="135">
        <v>16900</v>
      </c>
    </row>
    <row r="337" spans="1:23">
      <c r="A337" s="234">
        <v>6</v>
      </c>
      <c r="B337" s="319" t="s">
        <v>34</v>
      </c>
      <c r="C337" s="183" t="s">
        <v>102</v>
      </c>
      <c r="D337" s="51">
        <f t="shared" si="38"/>
        <v>5850</v>
      </c>
      <c r="E337" s="51">
        <f t="shared" si="39"/>
        <v>0</v>
      </c>
      <c r="F337" s="135"/>
      <c r="G337" s="135"/>
      <c r="H337" s="135"/>
      <c r="I337" s="135"/>
      <c r="J337" s="135"/>
      <c r="K337" s="51">
        <f t="shared" si="40"/>
        <v>5850</v>
      </c>
      <c r="L337" s="255"/>
      <c r="M337" s="147"/>
      <c r="N337" s="152"/>
      <c r="O337" s="152"/>
      <c r="P337" s="152"/>
      <c r="Q337" s="152"/>
      <c r="R337" s="147">
        <v>2250</v>
      </c>
      <c r="S337" s="152"/>
      <c r="T337" s="152"/>
      <c r="U337" s="152">
        <v>3600</v>
      </c>
      <c r="V337" s="152"/>
      <c r="W337" s="135"/>
    </row>
    <row r="338" spans="1:23">
      <c r="A338" s="234">
        <v>7</v>
      </c>
      <c r="B338" s="319" t="s">
        <v>34</v>
      </c>
      <c r="C338" s="323" t="s">
        <v>103</v>
      </c>
      <c r="D338" s="51">
        <f t="shared" si="38"/>
        <v>19100</v>
      </c>
      <c r="E338" s="51">
        <f t="shared" si="39"/>
        <v>0</v>
      </c>
      <c r="F338" s="135"/>
      <c r="G338" s="135"/>
      <c r="H338" s="135"/>
      <c r="I338" s="135"/>
      <c r="J338" s="135"/>
      <c r="K338" s="51">
        <f t="shared" si="40"/>
        <v>19100</v>
      </c>
      <c r="L338" s="255"/>
      <c r="M338" s="147">
        <v>5400</v>
      </c>
      <c r="N338" s="152"/>
      <c r="O338" s="152"/>
      <c r="P338" s="152">
        <v>2500</v>
      </c>
      <c r="Q338" s="152"/>
      <c r="R338" s="147">
        <v>400</v>
      </c>
      <c r="S338" s="145">
        <v>2520</v>
      </c>
      <c r="T338" s="152"/>
      <c r="U338" s="152">
        <v>5280</v>
      </c>
      <c r="V338" s="152">
        <v>3000</v>
      </c>
      <c r="W338" s="135"/>
    </row>
    <row r="339" spans="1:23">
      <c r="A339" s="234">
        <v>8</v>
      </c>
      <c r="B339" s="319" t="s">
        <v>34</v>
      </c>
      <c r="C339" s="323" t="s">
        <v>104</v>
      </c>
      <c r="D339" s="51">
        <f t="shared" si="38"/>
        <v>1750</v>
      </c>
      <c r="E339" s="51">
        <f t="shared" si="39"/>
        <v>0</v>
      </c>
      <c r="F339" s="135"/>
      <c r="G339" s="135"/>
      <c r="H339" s="135"/>
      <c r="I339" s="135"/>
      <c r="J339" s="135"/>
      <c r="K339" s="51">
        <f t="shared" si="40"/>
        <v>1750</v>
      </c>
      <c r="L339" s="255"/>
      <c r="M339" s="147"/>
      <c r="N339" s="152"/>
      <c r="O339" s="152"/>
      <c r="P339" s="152"/>
      <c r="Q339" s="152"/>
      <c r="R339" s="147">
        <v>1750</v>
      </c>
      <c r="S339" s="152"/>
      <c r="T339" s="152"/>
      <c r="U339" s="152"/>
      <c r="V339" s="152"/>
      <c r="W339" s="135"/>
    </row>
    <row r="340" spans="1:23">
      <c r="A340" s="234">
        <v>9</v>
      </c>
      <c r="B340" s="319" t="s">
        <v>34</v>
      </c>
      <c r="C340" s="323" t="s">
        <v>589</v>
      </c>
      <c r="D340" s="51">
        <f t="shared" si="38"/>
        <v>0</v>
      </c>
      <c r="E340" s="51">
        <f t="shared" si="39"/>
        <v>0</v>
      </c>
      <c r="F340" s="135"/>
      <c r="G340" s="135"/>
      <c r="H340" s="135"/>
      <c r="I340" s="135"/>
      <c r="J340" s="135"/>
      <c r="K340" s="51">
        <f t="shared" si="40"/>
        <v>0</v>
      </c>
      <c r="L340" s="255"/>
      <c r="M340" s="147"/>
      <c r="N340" s="152"/>
      <c r="O340" s="152"/>
      <c r="P340" s="152"/>
      <c r="Q340" s="152"/>
      <c r="R340" s="147"/>
      <c r="S340" s="152"/>
      <c r="T340" s="152"/>
      <c r="U340" s="152"/>
      <c r="V340" s="152"/>
      <c r="W340" s="135"/>
    </row>
    <row r="341" spans="1:23" ht="33.75">
      <c r="A341" s="234">
        <v>10</v>
      </c>
      <c r="B341" s="319" t="s">
        <v>34</v>
      </c>
      <c r="C341" s="183" t="s">
        <v>105</v>
      </c>
      <c r="D341" s="51">
        <f t="shared" si="38"/>
        <v>6300</v>
      </c>
      <c r="E341" s="51">
        <f t="shared" si="39"/>
        <v>0</v>
      </c>
      <c r="F341" s="135"/>
      <c r="G341" s="135"/>
      <c r="H341" s="135"/>
      <c r="I341" s="135"/>
      <c r="J341" s="135"/>
      <c r="K341" s="51">
        <f t="shared" si="40"/>
        <v>6300</v>
      </c>
      <c r="L341" s="255">
        <v>3300</v>
      </c>
      <c r="M341" s="147"/>
      <c r="N341" s="152"/>
      <c r="O341" s="152"/>
      <c r="P341" s="152"/>
      <c r="Q341" s="152"/>
      <c r="R341" s="147"/>
      <c r="S341" s="152"/>
      <c r="T341" s="152"/>
      <c r="U341" s="152"/>
      <c r="V341" s="152">
        <v>3000</v>
      </c>
      <c r="W341" s="135"/>
    </row>
    <row r="342" spans="1:23">
      <c r="A342" s="234">
        <v>11</v>
      </c>
      <c r="B342" s="319" t="s">
        <v>34</v>
      </c>
      <c r="C342" s="183" t="s">
        <v>106</v>
      </c>
      <c r="D342" s="51">
        <f t="shared" si="38"/>
        <v>27940</v>
      </c>
      <c r="E342" s="51">
        <f t="shared" si="39"/>
        <v>0</v>
      </c>
      <c r="F342" s="135"/>
      <c r="G342" s="135"/>
      <c r="H342" s="135"/>
      <c r="I342" s="135"/>
      <c r="J342" s="135"/>
      <c r="K342" s="51">
        <f t="shared" si="40"/>
        <v>27940</v>
      </c>
      <c r="L342" s="255"/>
      <c r="M342" s="147">
        <v>6000</v>
      </c>
      <c r="N342" s="152">
        <v>3400</v>
      </c>
      <c r="O342" s="152"/>
      <c r="P342" s="152">
        <v>3500</v>
      </c>
      <c r="Q342" s="152">
        <v>3540</v>
      </c>
      <c r="R342" s="147"/>
      <c r="S342" s="145"/>
      <c r="T342" s="152">
        <v>10600</v>
      </c>
      <c r="U342" s="152"/>
      <c r="V342" s="152">
        <v>900</v>
      </c>
      <c r="W342" s="135"/>
    </row>
    <row r="343" spans="1:23" ht="22.5">
      <c r="A343" s="234">
        <v>12</v>
      </c>
      <c r="B343" s="319" t="s">
        <v>34</v>
      </c>
      <c r="C343" s="183" t="s">
        <v>107</v>
      </c>
      <c r="D343" s="51">
        <f t="shared" si="38"/>
        <v>4800</v>
      </c>
      <c r="E343" s="51">
        <f t="shared" si="39"/>
        <v>0</v>
      </c>
      <c r="F343" s="135"/>
      <c r="G343" s="135"/>
      <c r="H343" s="135"/>
      <c r="I343" s="135"/>
      <c r="J343" s="135"/>
      <c r="K343" s="51">
        <f t="shared" si="40"/>
        <v>4800</v>
      </c>
      <c r="L343" s="136">
        <v>4800</v>
      </c>
      <c r="M343" s="324"/>
      <c r="N343" s="325"/>
      <c r="O343" s="325"/>
      <c r="P343" s="152"/>
      <c r="Q343" s="325"/>
      <c r="R343" s="147"/>
      <c r="S343" s="325"/>
      <c r="T343" s="325"/>
      <c r="U343" s="325"/>
      <c r="V343" s="325"/>
      <c r="W343" s="320"/>
    </row>
    <row r="344" spans="1:23" ht="22.5">
      <c r="A344" s="234">
        <v>13</v>
      </c>
      <c r="B344" s="319" t="s">
        <v>34</v>
      </c>
      <c r="C344" s="183" t="s">
        <v>108</v>
      </c>
      <c r="D344" s="51">
        <f t="shared" si="38"/>
        <v>14340</v>
      </c>
      <c r="E344" s="51">
        <f t="shared" si="39"/>
        <v>0</v>
      </c>
      <c r="F344" s="135"/>
      <c r="G344" s="135"/>
      <c r="H344" s="135"/>
      <c r="I344" s="135"/>
      <c r="J344" s="135"/>
      <c r="K344" s="51">
        <f t="shared" si="40"/>
        <v>14340</v>
      </c>
      <c r="L344" s="136"/>
      <c r="M344" s="324"/>
      <c r="N344" s="325"/>
      <c r="O344" s="325"/>
      <c r="P344" s="152"/>
      <c r="Q344" s="325"/>
      <c r="R344" s="147"/>
      <c r="S344" s="325"/>
      <c r="T344" s="325"/>
      <c r="U344" s="325">
        <v>3360</v>
      </c>
      <c r="V344" s="325">
        <v>10980</v>
      </c>
      <c r="W344" s="320"/>
    </row>
    <row r="345" spans="1:23">
      <c r="A345" s="234">
        <v>14</v>
      </c>
      <c r="B345" s="319" t="s">
        <v>34</v>
      </c>
      <c r="C345" s="183" t="s">
        <v>109</v>
      </c>
      <c r="D345" s="51">
        <f t="shared" si="38"/>
        <v>45000</v>
      </c>
      <c r="E345" s="51">
        <f t="shared" si="39"/>
        <v>0</v>
      </c>
      <c r="F345" s="135"/>
      <c r="G345" s="135"/>
      <c r="H345" s="135"/>
      <c r="I345" s="135"/>
      <c r="J345" s="135"/>
      <c r="K345" s="51">
        <f t="shared" si="40"/>
        <v>45000</v>
      </c>
      <c r="L345" s="136"/>
      <c r="M345" s="324"/>
      <c r="N345" s="325">
        <v>45000</v>
      </c>
      <c r="O345" s="325"/>
      <c r="P345" s="152"/>
      <c r="Q345" s="325"/>
      <c r="R345" s="147"/>
      <c r="S345" s="325"/>
      <c r="T345" s="325"/>
      <c r="U345" s="325"/>
      <c r="V345" s="325"/>
      <c r="W345" s="320"/>
    </row>
    <row r="346" spans="1:23">
      <c r="A346" s="234">
        <v>15</v>
      </c>
      <c r="B346" s="319" t="s">
        <v>34</v>
      </c>
      <c r="C346" s="183" t="s">
        <v>110</v>
      </c>
      <c r="D346" s="51">
        <f t="shared" si="38"/>
        <v>25200</v>
      </c>
      <c r="E346" s="51">
        <f t="shared" si="39"/>
        <v>25200</v>
      </c>
      <c r="F346" s="135">
        <v>25200</v>
      </c>
      <c r="G346" s="135"/>
      <c r="H346" s="135"/>
      <c r="I346" s="135"/>
      <c r="J346" s="135"/>
      <c r="K346" s="51">
        <f t="shared" si="40"/>
        <v>0</v>
      </c>
      <c r="L346" s="136"/>
      <c r="M346" s="324"/>
      <c r="N346" s="325"/>
      <c r="O346" s="325"/>
      <c r="P346" s="152"/>
      <c r="Q346" s="325"/>
      <c r="R346" s="147"/>
      <c r="S346" s="325"/>
      <c r="T346" s="325"/>
      <c r="U346" s="325"/>
      <c r="V346" s="325"/>
      <c r="W346" s="320"/>
    </row>
    <row r="347" spans="1:23">
      <c r="A347" s="234">
        <v>16</v>
      </c>
      <c r="B347" s="319" t="s">
        <v>34</v>
      </c>
      <c r="C347" s="183" t="s">
        <v>111</v>
      </c>
      <c r="D347" s="51">
        <f t="shared" si="38"/>
        <v>19200</v>
      </c>
      <c r="E347" s="51">
        <f t="shared" si="39"/>
        <v>19200</v>
      </c>
      <c r="F347" s="135">
        <v>19200</v>
      </c>
      <c r="G347" s="135"/>
      <c r="H347" s="135"/>
      <c r="I347" s="135"/>
      <c r="J347" s="135"/>
      <c r="K347" s="51">
        <f t="shared" si="40"/>
        <v>0</v>
      </c>
      <c r="L347" s="136"/>
      <c r="M347" s="324"/>
      <c r="N347" s="325"/>
      <c r="O347" s="325"/>
      <c r="P347" s="152"/>
      <c r="Q347" s="325"/>
      <c r="R347" s="147"/>
      <c r="S347" s="325"/>
      <c r="T347" s="325"/>
      <c r="U347" s="325"/>
      <c r="V347" s="325"/>
      <c r="W347" s="320"/>
    </row>
    <row r="348" spans="1:23">
      <c r="A348" s="234">
        <v>17</v>
      </c>
      <c r="B348" s="319" t="s">
        <v>34</v>
      </c>
      <c r="C348" s="183" t="s">
        <v>493</v>
      </c>
      <c r="D348" s="51">
        <f t="shared" si="38"/>
        <v>105299</v>
      </c>
      <c r="E348" s="51">
        <f t="shared" si="39"/>
        <v>0</v>
      </c>
      <c r="F348" s="135"/>
      <c r="G348" s="135"/>
      <c r="H348" s="135"/>
      <c r="I348" s="135"/>
      <c r="J348" s="135"/>
      <c r="K348" s="51">
        <f t="shared" si="40"/>
        <v>105299</v>
      </c>
      <c r="L348" s="136"/>
      <c r="M348" s="324"/>
      <c r="N348" s="325">
        <v>21965</v>
      </c>
      <c r="O348" s="325"/>
      <c r="P348" s="152">
        <v>26600</v>
      </c>
      <c r="Q348" s="325"/>
      <c r="R348" s="147"/>
      <c r="S348" s="325">
        <v>29684</v>
      </c>
      <c r="T348" s="325"/>
      <c r="U348" s="325">
        <v>23640</v>
      </c>
      <c r="V348" s="325">
        <v>3410</v>
      </c>
      <c r="W348" s="320"/>
    </row>
    <row r="349" spans="1:23">
      <c r="A349" s="234">
        <v>18</v>
      </c>
      <c r="B349" s="319" t="s">
        <v>34</v>
      </c>
      <c r="C349" s="174" t="s">
        <v>224</v>
      </c>
      <c r="D349" s="51">
        <f t="shared" si="38"/>
        <v>34580</v>
      </c>
      <c r="E349" s="51">
        <f t="shared" si="39"/>
        <v>0</v>
      </c>
      <c r="F349" s="135"/>
      <c r="G349" s="135"/>
      <c r="H349" s="135"/>
      <c r="I349" s="135"/>
      <c r="J349" s="135"/>
      <c r="K349" s="51">
        <f t="shared" si="40"/>
        <v>34580</v>
      </c>
      <c r="L349" s="136"/>
      <c r="M349" s="324"/>
      <c r="N349" s="325"/>
      <c r="O349" s="325"/>
      <c r="P349" s="326"/>
      <c r="Q349" s="325"/>
      <c r="R349" s="147">
        <v>34580</v>
      </c>
      <c r="S349" s="325"/>
      <c r="T349" s="327"/>
      <c r="U349" s="325"/>
      <c r="V349" s="325"/>
      <c r="W349" s="320"/>
    </row>
    <row r="350" spans="1:23">
      <c r="A350" s="234">
        <v>19</v>
      </c>
      <c r="B350" s="319" t="s">
        <v>34</v>
      </c>
      <c r="C350" s="174" t="s">
        <v>494</v>
      </c>
      <c r="D350" s="51">
        <f t="shared" si="38"/>
        <v>58000</v>
      </c>
      <c r="E350" s="51">
        <f t="shared" si="39"/>
        <v>0</v>
      </c>
      <c r="F350" s="135"/>
      <c r="G350" s="135"/>
      <c r="H350" s="135"/>
      <c r="I350" s="135"/>
      <c r="J350" s="135"/>
      <c r="K350" s="51">
        <f t="shared" si="40"/>
        <v>58000</v>
      </c>
      <c r="L350" s="136"/>
      <c r="M350" s="324"/>
      <c r="N350" s="325"/>
      <c r="O350" s="325"/>
      <c r="P350" s="326"/>
      <c r="Q350" s="325"/>
      <c r="R350" s="147"/>
      <c r="S350" s="325"/>
      <c r="T350" s="327">
        <v>58000</v>
      </c>
      <c r="U350" s="325"/>
      <c r="V350" s="325"/>
      <c r="W350" s="320"/>
    </row>
    <row r="351" spans="1:23">
      <c r="A351" s="234">
        <v>20</v>
      </c>
      <c r="B351" s="319" t="s">
        <v>34</v>
      </c>
      <c r="C351" s="174" t="s">
        <v>291</v>
      </c>
      <c r="D351" s="51">
        <f t="shared" si="38"/>
        <v>79778</v>
      </c>
      <c r="E351" s="51">
        <f t="shared" si="39"/>
        <v>0</v>
      </c>
      <c r="F351" s="135"/>
      <c r="G351" s="135"/>
      <c r="H351" s="135"/>
      <c r="I351" s="135"/>
      <c r="J351" s="135"/>
      <c r="K351" s="51">
        <f t="shared" si="40"/>
        <v>79778</v>
      </c>
      <c r="L351" s="136"/>
      <c r="M351" s="324"/>
      <c r="N351" s="325"/>
      <c r="O351" s="325"/>
      <c r="P351" s="326"/>
      <c r="Q351" s="325"/>
      <c r="R351" s="147"/>
      <c r="S351" s="325"/>
      <c r="T351" s="327">
        <v>79778</v>
      </c>
      <c r="U351" s="325"/>
      <c r="V351" s="325"/>
      <c r="W351" s="320"/>
    </row>
    <row r="352" spans="1:23">
      <c r="A352" s="234">
        <v>21</v>
      </c>
      <c r="B352" s="319" t="s">
        <v>34</v>
      </c>
      <c r="C352" s="174" t="s">
        <v>112</v>
      </c>
      <c r="D352" s="51">
        <f t="shared" si="38"/>
        <v>3340</v>
      </c>
      <c r="E352" s="51">
        <f t="shared" si="39"/>
        <v>0</v>
      </c>
      <c r="F352" s="135"/>
      <c r="G352" s="135"/>
      <c r="H352" s="135"/>
      <c r="I352" s="135"/>
      <c r="J352" s="135"/>
      <c r="K352" s="51">
        <f t="shared" si="40"/>
        <v>3340</v>
      </c>
      <c r="L352" s="255"/>
      <c r="M352" s="324"/>
      <c r="N352" s="327"/>
      <c r="O352" s="327"/>
      <c r="P352" s="326"/>
      <c r="Q352" s="327">
        <v>3340</v>
      </c>
      <c r="R352" s="147"/>
      <c r="S352" s="327"/>
      <c r="T352" s="327"/>
      <c r="U352" s="327"/>
      <c r="V352" s="327"/>
      <c r="W352" s="328"/>
    </row>
    <row r="353" spans="1:23">
      <c r="A353" s="234">
        <v>22</v>
      </c>
      <c r="B353" s="319" t="s">
        <v>34</v>
      </c>
      <c r="C353" s="238" t="s">
        <v>495</v>
      </c>
      <c r="D353" s="51">
        <f t="shared" si="38"/>
        <v>11286</v>
      </c>
      <c r="E353" s="51">
        <f t="shared" si="39"/>
        <v>4550</v>
      </c>
      <c r="F353" s="105">
        <v>4550</v>
      </c>
      <c r="G353" s="105"/>
      <c r="H353" s="105"/>
      <c r="I353" s="105"/>
      <c r="J353" s="105"/>
      <c r="K353" s="51">
        <f t="shared" si="40"/>
        <v>6736</v>
      </c>
      <c r="L353" s="105"/>
      <c r="M353" s="105"/>
      <c r="N353" s="105"/>
      <c r="O353" s="105"/>
      <c r="P353" s="105">
        <v>6736</v>
      </c>
      <c r="Q353" s="105"/>
      <c r="R353" s="105"/>
      <c r="S353" s="105"/>
      <c r="T353" s="105"/>
      <c r="U353" s="105"/>
      <c r="V353" s="105"/>
      <c r="W353" s="105"/>
    </row>
    <row r="354" spans="1:23">
      <c r="A354" s="234">
        <v>23</v>
      </c>
      <c r="B354" s="319" t="s">
        <v>34</v>
      </c>
      <c r="C354" s="238" t="s">
        <v>496</v>
      </c>
      <c r="D354" s="51">
        <f t="shared" si="38"/>
        <v>50000</v>
      </c>
      <c r="E354" s="51">
        <f t="shared" si="39"/>
        <v>0</v>
      </c>
      <c r="F354" s="105"/>
      <c r="G354" s="105"/>
      <c r="H354" s="105"/>
      <c r="I354" s="105"/>
      <c r="J354" s="105"/>
      <c r="K354" s="51">
        <f t="shared" si="40"/>
        <v>50000</v>
      </c>
      <c r="L354" s="105"/>
      <c r="M354" s="105"/>
      <c r="N354" s="105"/>
      <c r="O354" s="105"/>
      <c r="P354" s="105"/>
      <c r="Q354" s="105"/>
      <c r="R354" s="105"/>
      <c r="S354" s="105"/>
      <c r="T354" s="105">
        <v>50000</v>
      </c>
      <c r="U354" s="105"/>
      <c r="V354" s="105"/>
      <c r="W354" s="105"/>
    </row>
    <row r="355" spans="1:23">
      <c r="A355" s="234">
        <v>24</v>
      </c>
      <c r="B355" s="319" t="s">
        <v>34</v>
      </c>
      <c r="C355" s="238" t="s">
        <v>497</v>
      </c>
      <c r="D355" s="51">
        <f t="shared" si="38"/>
        <v>59600</v>
      </c>
      <c r="E355" s="51">
        <f t="shared" si="39"/>
        <v>37200</v>
      </c>
      <c r="F355" s="105">
        <v>37200</v>
      </c>
      <c r="G355" s="105"/>
      <c r="H355" s="105"/>
      <c r="I355" s="105"/>
      <c r="J355" s="105"/>
      <c r="K355" s="51">
        <f t="shared" si="40"/>
        <v>22400</v>
      </c>
      <c r="L355" s="105"/>
      <c r="M355" s="105"/>
      <c r="N355" s="105"/>
      <c r="O355" s="105"/>
      <c r="P355" s="105"/>
      <c r="Q355" s="105"/>
      <c r="R355" s="105"/>
      <c r="S355" s="105"/>
      <c r="T355" s="105"/>
      <c r="U355" s="105"/>
      <c r="V355" s="105">
        <v>22400</v>
      </c>
      <c r="W355" s="105"/>
    </row>
    <row r="356" spans="1:23">
      <c r="A356" s="234">
        <v>25</v>
      </c>
      <c r="B356" s="319" t="s">
        <v>34</v>
      </c>
      <c r="C356" s="238" t="s">
        <v>498</v>
      </c>
      <c r="D356" s="51">
        <f t="shared" si="38"/>
        <v>191089.03999999998</v>
      </c>
      <c r="E356" s="51">
        <f t="shared" si="39"/>
        <v>81600</v>
      </c>
      <c r="F356" s="105">
        <v>81600</v>
      </c>
      <c r="G356" s="105"/>
      <c r="H356" s="105"/>
      <c r="I356" s="105"/>
      <c r="J356" s="105"/>
      <c r="K356" s="51">
        <f t="shared" si="40"/>
        <v>109489.04</v>
      </c>
      <c r="L356" s="105"/>
      <c r="M356" s="105">
        <v>4500</v>
      </c>
      <c r="N356" s="105"/>
      <c r="O356" s="105"/>
      <c r="P356" s="105"/>
      <c r="Q356" s="105">
        <f>4800+16640</f>
        <v>21440</v>
      </c>
      <c r="R356" s="105"/>
      <c r="S356" s="105"/>
      <c r="T356" s="105">
        <v>75389.039999999994</v>
      </c>
      <c r="U356" s="105"/>
      <c r="V356" s="105">
        <v>5760</v>
      </c>
      <c r="W356" s="105">
        <v>2400</v>
      </c>
    </row>
    <row r="357" spans="1:23" ht="22.5">
      <c r="A357" s="234">
        <v>26</v>
      </c>
      <c r="B357" s="319" t="s">
        <v>34</v>
      </c>
      <c r="C357" s="153" t="s">
        <v>499</v>
      </c>
      <c r="D357" s="51">
        <f t="shared" si="38"/>
        <v>106860</v>
      </c>
      <c r="E357" s="51">
        <f t="shared" si="39"/>
        <v>65000</v>
      </c>
      <c r="F357" s="105">
        <v>65000</v>
      </c>
      <c r="G357" s="105"/>
      <c r="H357" s="105"/>
      <c r="I357" s="105"/>
      <c r="J357" s="105"/>
      <c r="K357" s="51">
        <f t="shared" si="40"/>
        <v>41860</v>
      </c>
      <c r="L357" s="105"/>
      <c r="M357" s="105"/>
      <c r="N357" s="105"/>
      <c r="O357" s="105"/>
      <c r="P357" s="105"/>
      <c r="Q357" s="105">
        <v>2360</v>
      </c>
      <c r="R357" s="105"/>
      <c r="S357" s="105"/>
      <c r="T357" s="105"/>
      <c r="U357" s="105"/>
      <c r="V357" s="105">
        <v>9600</v>
      </c>
      <c r="W357" s="105">
        <v>29900</v>
      </c>
    </row>
    <row r="358" spans="1:23" ht="22.5">
      <c r="A358" s="234">
        <v>27</v>
      </c>
      <c r="B358" s="319" t="s">
        <v>34</v>
      </c>
      <c r="C358" s="153" t="s">
        <v>500</v>
      </c>
      <c r="D358" s="51">
        <f t="shared" si="38"/>
        <v>33500</v>
      </c>
      <c r="E358" s="51">
        <f t="shared" si="39"/>
        <v>33500</v>
      </c>
      <c r="F358" s="105">
        <v>33500</v>
      </c>
      <c r="G358" s="105"/>
      <c r="H358" s="105"/>
      <c r="I358" s="105"/>
      <c r="J358" s="105"/>
      <c r="K358" s="51">
        <f t="shared" si="40"/>
        <v>0</v>
      </c>
      <c r="L358" s="105"/>
      <c r="M358" s="105"/>
      <c r="N358" s="105"/>
      <c r="O358" s="105"/>
      <c r="P358" s="105"/>
      <c r="Q358" s="105"/>
      <c r="R358" s="105"/>
      <c r="S358" s="105"/>
      <c r="T358" s="105"/>
      <c r="U358" s="105"/>
      <c r="V358" s="105"/>
      <c r="W358" s="105"/>
    </row>
    <row r="359" spans="1:23" s="35" customFormat="1" ht="21">
      <c r="A359" s="317">
        <v>9</v>
      </c>
      <c r="B359" s="318" t="s">
        <v>34</v>
      </c>
      <c r="C359" s="129" t="s">
        <v>27</v>
      </c>
      <c r="D359" s="51">
        <f t="shared" si="38"/>
        <v>2841777</v>
      </c>
      <c r="E359" s="51">
        <f t="shared" si="39"/>
        <v>1123400</v>
      </c>
      <c r="F359" s="96">
        <f t="shared" ref="F359:W359" si="42">F360+F382</f>
        <v>1123400</v>
      </c>
      <c r="G359" s="96">
        <f t="shared" si="42"/>
        <v>0</v>
      </c>
      <c r="H359" s="96">
        <f t="shared" si="42"/>
        <v>0</v>
      </c>
      <c r="I359" s="96">
        <f t="shared" si="42"/>
        <v>0</v>
      </c>
      <c r="J359" s="96">
        <f t="shared" si="42"/>
        <v>0</v>
      </c>
      <c r="K359" s="51">
        <f t="shared" si="40"/>
        <v>1718377</v>
      </c>
      <c r="L359" s="96">
        <f t="shared" si="42"/>
        <v>103020</v>
      </c>
      <c r="M359" s="96">
        <f t="shared" si="42"/>
        <v>28500</v>
      </c>
      <c r="N359" s="96">
        <f t="shared" si="42"/>
        <v>88000</v>
      </c>
      <c r="O359" s="96">
        <f t="shared" si="42"/>
        <v>115300</v>
      </c>
      <c r="P359" s="96">
        <f t="shared" si="42"/>
        <v>85190</v>
      </c>
      <c r="Q359" s="96">
        <f t="shared" si="42"/>
        <v>132675</v>
      </c>
      <c r="R359" s="96">
        <f t="shared" si="42"/>
        <v>328660</v>
      </c>
      <c r="S359" s="96">
        <f t="shared" si="42"/>
        <v>206798</v>
      </c>
      <c r="T359" s="96">
        <f t="shared" si="42"/>
        <v>287874</v>
      </c>
      <c r="U359" s="96">
        <f t="shared" si="42"/>
        <v>152660</v>
      </c>
      <c r="V359" s="96">
        <f t="shared" si="42"/>
        <v>122810</v>
      </c>
      <c r="W359" s="96">
        <f t="shared" si="42"/>
        <v>66890</v>
      </c>
    </row>
    <row r="360" spans="1:23" s="520" customFormat="1">
      <c r="A360" s="329" t="s">
        <v>259</v>
      </c>
      <c r="B360" s="318" t="s">
        <v>34</v>
      </c>
      <c r="C360" s="330" t="s">
        <v>129</v>
      </c>
      <c r="D360" s="51">
        <f t="shared" si="38"/>
        <v>2235717</v>
      </c>
      <c r="E360" s="51">
        <f t="shared" si="39"/>
        <v>666400</v>
      </c>
      <c r="F360" s="237">
        <f>SUM(F361:F381)</f>
        <v>666400</v>
      </c>
      <c r="G360" s="237">
        <f t="shared" ref="G360:W360" si="43">SUM(G361:G381)</f>
        <v>0</v>
      </c>
      <c r="H360" s="237">
        <f t="shared" si="43"/>
        <v>0</v>
      </c>
      <c r="I360" s="237">
        <f t="shared" si="43"/>
        <v>0</v>
      </c>
      <c r="J360" s="237">
        <f t="shared" si="43"/>
        <v>0</v>
      </c>
      <c r="K360" s="51">
        <f t="shared" si="40"/>
        <v>1569317</v>
      </c>
      <c r="L360" s="237">
        <f t="shared" si="43"/>
        <v>92920</v>
      </c>
      <c r="M360" s="237">
        <f t="shared" si="43"/>
        <v>25500</v>
      </c>
      <c r="N360" s="237">
        <f t="shared" si="43"/>
        <v>85000</v>
      </c>
      <c r="O360" s="237">
        <f t="shared" si="43"/>
        <v>101850</v>
      </c>
      <c r="P360" s="237">
        <f t="shared" si="43"/>
        <v>81690</v>
      </c>
      <c r="Q360" s="237">
        <f t="shared" si="43"/>
        <v>111145</v>
      </c>
      <c r="R360" s="237">
        <f t="shared" si="43"/>
        <v>313640</v>
      </c>
      <c r="S360" s="237">
        <f t="shared" si="43"/>
        <v>193878</v>
      </c>
      <c r="T360" s="237">
        <f t="shared" si="43"/>
        <v>273714</v>
      </c>
      <c r="U360" s="237">
        <f t="shared" si="43"/>
        <v>126460</v>
      </c>
      <c r="V360" s="237">
        <f t="shared" si="43"/>
        <v>115810</v>
      </c>
      <c r="W360" s="237">
        <f t="shared" si="43"/>
        <v>47710</v>
      </c>
    </row>
    <row r="361" spans="1:23" s="521" customFormat="1" ht="22.5">
      <c r="A361" s="142">
        <v>1</v>
      </c>
      <c r="B361" s="319" t="s">
        <v>34</v>
      </c>
      <c r="C361" s="331" t="s">
        <v>406</v>
      </c>
      <c r="D361" s="51">
        <f t="shared" si="38"/>
        <v>325500</v>
      </c>
      <c r="E361" s="51">
        <f t="shared" si="39"/>
        <v>100000</v>
      </c>
      <c r="F361" s="147">
        <v>100000</v>
      </c>
      <c r="G361" s="135"/>
      <c r="H361" s="135"/>
      <c r="I361" s="135"/>
      <c r="J361" s="135"/>
      <c r="K361" s="51">
        <f t="shared" si="40"/>
        <v>225500</v>
      </c>
      <c r="L361" s="332"/>
      <c r="M361" s="237"/>
      <c r="N361" s="145"/>
      <c r="O361" s="145"/>
      <c r="P361" s="152"/>
      <c r="Q361" s="145"/>
      <c r="R361" s="333">
        <v>133800</v>
      </c>
      <c r="S361" s="145">
        <v>43800</v>
      </c>
      <c r="T361" s="334">
        <v>28500</v>
      </c>
      <c r="U361" s="145">
        <v>14000</v>
      </c>
      <c r="V361" s="145"/>
      <c r="W361" s="137">
        <v>5400</v>
      </c>
    </row>
    <row r="362" spans="1:23" s="521" customFormat="1">
      <c r="A362" s="142">
        <v>2</v>
      </c>
      <c r="B362" s="319" t="s">
        <v>34</v>
      </c>
      <c r="C362" s="335" t="s">
        <v>113</v>
      </c>
      <c r="D362" s="51">
        <f t="shared" si="38"/>
        <v>52178</v>
      </c>
      <c r="E362" s="51">
        <f t="shared" si="39"/>
        <v>0</v>
      </c>
      <c r="F362" s="147"/>
      <c r="G362" s="135"/>
      <c r="H362" s="135"/>
      <c r="I362" s="135"/>
      <c r="J362" s="135"/>
      <c r="K362" s="51">
        <f t="shared" si="40"/>
        <v>52178</v>
      </c>
      <c r="L362" s="332">
        <v>1400</v>
      </c>
      <c r="M362" s="147">
        <v>8000</v>
      </c>
      <c r="N362" s="145"/>
      <c r="O362" s="145"/>
      <c r="P362" s="152"/>
      <c r="Q362" s="145">
        <v>10630</v>
      </c>
      <c r="R362" s="147"/>
      <c r="S362" s="145">
        <v>29648</v>
      </c>
      <c r="T362" s="336"/>
      <c r="U362" s="145"/>
      <c r="V362" s="145">
        <v>2500</v>
      </c>
      <c r="W362" s="137"/>
    </row>
    <row r="363" spans="1:23" s="521" customFormat="1">
      <c r="A363" s="142">
        <v>3</v>
      </c>
      <c r="B363" s="319" t="s">
        <v>34</v>
      </c>
      <c r="C363" s="335" t="s">
        <v>114</v>
      </c>
      <c r="D363" s="51">
        <f t="shared" si="38"/>
        <v>0</v>
      </c>
      <c r="E363" s="51">
        <f t="shared" si="39"/>
        <v>0</v>
      </c>
      <c r="F363" s="147"/>
      <c r="G363" s="135"/>
      <c r="H363" s="135"/>
      <c r="I363" s="135"/>
      <c r="J363" s="135"/>
      <c r="K363" s="51">
        <f t="shared" si="40"/>
        <v>0</v>
      </c>
      <c r="L363" s="332">
        <v>0</v>
      </c>
      <c r="M363" s="147">
        <v>0</v>
      </c>
      <c r="N363" s="145">
        <v>0</v>
      </c>
      <c r="O363" s="145">
        <v>0</v>
      </c>
      <c r="P363" s="152">
        <v>0</v>
      </c>
      <c r="Q363" s="145">
        <v>0</v>
      </c>
      <c r="R363" s="147">
        <v>0</v>
      </c>
      <c r="S363" s="145">
        <v>0</v>
      </c>
      <c r="T363" s="336">
        <v>0</v>
      </c>
      <c r="U363" s="145">
        <v>0</v>
      </c>
      <c r="V363" s="145">
        <v>0</v>
      </c>
      <c r="W363" s="137">
        <v>0</v>
      </c>
    </row>
    <row r="364" spans="1:23" s="521" customFormat="1">
      <c r="A364" s="142">
        <v>4</v>
      </c>
      <c r="B364" s="319" t="s">
        <v>34</v>
      </c>
      <c r="C364" s="335" t="s">
        <v>115</v>
      </c>
      <c r="D364" s="51">
        <f t="shared" si="38"/>
        <v>0</v>
      </c>
      <c r="E364" s="51">
        <f t="shared" si="39"/>
        <v>0</v>
      </c>
      <c r="F364" s="147"/>
      <c r="G364" s="135"/>
      <c r="H364" s="135"/>
      <c r="I364" s="135"/>
      <c r="J364" s="135"/>
      <c r="K364" s="51">
        <f t="shared" si="40"/>
        <v>0</v>
      </c>
      <c r="L364" s="332">
        <v>0</v>
      </c>
      <c r="M364" s="147">
        <v>0</v>
      </c>
      <c r="N364" s="145">
        <v>0</v>
      </c>
      <c r="O364" s="145">
        <v>0</v>
      </c>
      <c r="P364" s="152">
        <v>0</v>
      </c>
      <c r="Q364" s="145">
        <v>0</v>
      </c>
      <c r="R364" s="147">
        <v>0</v>
      </c>
      <c r="S364" s="145">
        <v>0</v>
      </c>
      <c r="T364" s="336">
        <v>0</v>
      </c>
      <c r="U364" s="145">
        <v>0</v>
      </c>
      <c r="V364" s="145">
        <v>0</v>
      </c>
      <c r="W364" s="137">
        <v>0</v>
      </c>
    </row>
    <row r="365" spans="1:23" s="521" customFormat="1">
      <c r="A365" s="142">
        <v>5</v>
      </c>
      <c r="B365" s="319" t="s">
        <v>34</v>
      </c>
      <c r="C365" s="335" t="s">
        <v>116</v>
      </c>
      <c r="D365" s="51">
        <f t="shared" si="38"/>
        <v>0</v>
      </c>
      <c r="E365" s="51">
        <f t="shared" si="39"/>
        <v>0</v>
      </c>
      <c r="F365" s="147"/>
      <c r="G365" s="135"/>
      <c r="H365" s="135"/>
      <c r="I365" s="135"/>
      <c r="J365" s="135"/>
      <c r="K365" s="51">
        <f t="shared" si="40"/>
        <v>0</v>
      </c>
      <c r="L365" s="332">
        <v>0</v>
      </c>
      <c r="M365" s="147"/>
      <c r="N365" s="145"/>
      <c r="O365" s="145"/>
      <c r="P365" s="337"/>
      <c r="Q365" s="145"/>
      <c r="R365" s="147"/>
      <c r="S365" s="145"/>
      <c r="T365" s="338">
        <v>0</v>
      </c>
      <c r="U365" s="145">
        <v>0</v>
      </c>
      <c r="V365" s="145"/>
      <c r="W365" s="137"/>
    </row>
    <row r="366" spans="1:23" s="521" customFormat="1">
      <c r="A366" s="142">
        <v>6</v>
      </c>
      <c r="B366" s="319" t="s">
        <v>34</v>
      </c>
      <c r="C366" s="335" t="s">
        <v>117</v>
      </c>
      <c r="D366" s="51">
        <f t="shared" si="38"/>
        <v>216800</v>
      </c>
      <c r="E366" s="51">
        <f t="shared" si="39"/>
        <v>0</v>
      </c>
      <c r="F366" s="147"/>
      <c r="G366" s="135"/>
      <c r="H366" s="135"/>
      <c r="I366" s="135"/>
      <c r="J366" s="135"/>
      <c r="K366" s="51">
        <f t="shared" si="40"/>
        <v>216800</v>
      </c>
      <c r="L366" s="332">
        <v>14400</v>
      </c>
      <c r="M366" s="147"/>
      <c r="N366" s="145"/>
      <c r="O366" s="145">
        <v>9000</v>
      </c>
      <c r="P366" s="337">
        <v>14400</v>
      </c>
      <c r="Q366" s="145"/>
      <c r="R366" s="147"/>
      <c r="S366" s="145">
        <v>27900</v>
      </c>
      <c r="T366" s="336">
        <v>81200</v>
      </c>
      <c r="U366" s="145">
        <v>45000</v>
      </c>
      <c r="V366" s="145">
        <v>16800</v>
      </c>
      <c r="W366" s="137">
        <v>8100</v>
      </c>
    </row>
    <row r="367" spans="1:23" s="521" customFormat="1" ht="22.5">
      <c r="A367" s="142">
        <v>7</v>
      </c>
      <c r="B367" s="319" t="s">
        <v>34</v>
      </c>
      <c r="C367" s="335" t="s">
        <v>118</v>
      </c>
      <c r="D367" s="51">
        <f t="shared" si="38"/>
        <v>65400</v>
      </c>
      <c r="E367" s="51">
        <f t="shared" si="39"/>
        <v>0</v>
      </c>
      <c r="F367" s="147"/>
      <c r="G367" s="135"/>
      <c r="H367" s="135"/>
      <c r="I367" s="135"/>
      <c r="J367" s="135"/>
      <c r="K367" s="51">
        <f t="shared" si="40"/>
        <v>65400</v>
      </c>
      <c r="L367" s="332">
        <v>0</v>
      </c>
      <c r="M367" s="147"/>
      <c r="N367" s="145"/>
      <c r="O367" s="145"/>
      <c r="P367" s="152"/>
      <c r="Q367" s="145">
        <v>54000</v>
      </c>
      <c r="R367" s="147">
        <v>2400</v>
      </c>
      <c r="S367" s="145"/>
      <c r="T367" s="338">
        <v>0</v>
      </c>
      <c r="U367" s="145"/>
      <c r="V367" s="145">
        <v>9000</v>
      </c>
      <c r="W367" s="137"/>
    </row>
    <row r="368" spans="1:23" s="521" customFormat="1">
      <c r="A368" s="142">
        <v>8</v>
      </c>
      <c r="B368" s="319" t="s">
        <v>34</v>
      </c>
      <c r="C368" s="335" t="s">
        <v>119</v>
      </c>
      <c r="D368" s="51">
        <f t="shared" si="38"/>
        <v>170400</v>
      </c>
      <c r="E368" s="51">
        <f t="shared" si="39"/>
        <v>170400</v>
      </c>
      <c r="F368" s="147">
        <v>170400</v>
      </c>
      <c r="G368" s="135"/>
      <c r="H368" s="135"/>
      <c r="I368" s="135"/>
      <c r="J368" s="135"/>
      <c r="K368" s="51">
        <f t="shared" si="40"/>
        <v>0</v>
      </c>
      <c r="L368" s="332">
        <v>0</v>
      </c>
      <c r="M368" s="147"/>
      <c r="N368" s="147"/>
      <c r="O368" s="147">
        <v>0</v>
      </c>
      <c r="P368" s="152"/>
      <c r="Q368" s="145"/>
      <c r="R368" s="147">
        <v>0</v>
      </c>
      <c r="S368" s="145"/>
      <c r="T368" s="334">
        <v>0</v>
      </c>
      <c r="U368" s="145">
        <v>0</v>
      </c>
      <c r="V368" s="145">
        <v>0</v>
      </c>
      <c r="W368" s="137"/>
    </row>
    <row r="369" spans="1:23" s="521" customFormat="1">
      <c r="A369" s="142">
        <v>9</v>
      </c>
      <c r="B369" s="319" t="s">
        <v>34</v>
      </c>
      <c r="C369" s="335" t="s">
        <v>120</v>
      </c>
      <c r="D369" s="51">
        <f t="shared" si="38"/>
        <v>29160</v>
      </c>
      <c r="E369" s="51">
        <f t="shared" si="39"/>
        <v>0</v>
      </c>
      <c r="F369" s="147"/>
      <c r="G369" s="135"/>
      <c r="H369" s="135"/>
      <c r="I369" s="135"/>
      <c r="J369" s="135"/>
      <c r="K369" s="51">
        <f t="shared" si="40"/>
        <v>29160</v>
      </c>
      <c r="L369" s="332"/>
      <c r="M369" s="147">
        <v>3000</v>
      </c>
      <c r="N369" s="147"/>
      <c r="O369" s="147"/>
      <c r="P369" s="152">
        <v>8000</v>
      </c>
      <c r="Q369" s="145"/>
      <c r="R369" s="147">
        <v>9500</v>
      </c>
      <c r="S369" s="145"/>
      <c r="T369" s="334">
        <v>0</v>
      </c>
      <c r="U369" s="145">
        <v>0</v>
      </c>
      <c r="V369" s="145">
        <v>8000</v>
      </c>
      <c r="W369" s="137">
        <v>660</v>
      </c>
    </row>
    <row r="370" spans="1:23" s="521" customFormat="1">
      <c r="A370" s="142">
        <v>11</v>
      </c>
      <c r="B370" s="319" t="s">
        <v>34</v>
      </c>
      <c r="C370" s="335" t="s">
        <v>121</v>
      </c>
      <c r="D370" s="51">
        <f t="shared" si="38"/>
        <v>270210</v>
      </c>
      <c r="E370" s="51">
        <f t="shared" si="39"/>
        <v>180000</v>
      </c>
      <c r="F370" s="147">
        <v>180000</v>
      </c>
      <c r="G370" s="135"/>
      <c r="H370" s="135"/>
      <c r="I370" s="135"/>
      <c r="J370" s="135"/>
      <c r="K370" s="51">
        <f t="shared" si="40"/>
        <v>90210</v>
      </c>
      <c r="L370" s="332">
        <v>1920</v>
      </c>
      <c r="M370" s="147">
        <v>3500</v>
      </c>
      <c r="N370" s="147">
        <v>1600</v>
      </c>
      <c r="O370" s="147">
        <v>4800</v>
      </c>
      <c r="P370" s="152">
        <v>9296</v>
      </c>
      <c r="Q370" s="145">
        <v>1280</v>
      </c>
      <c r="R370" s="147">
        <v>7600</v>
      </c>
      <c r="S370" s="145">
        <v>4000</v>
      </c>
      <c r="T370" s="336">
        <v>46254</v>
      </c>
      <c r="U370" s="145">
        <v>4000</v>
      </c>
      <c r="V370" s="145">
        <v>2520</v>
      </c>
      <c r="W370" s="137">
        <v>3440</v>
      </c>
    </row>
    <row r="371" spans="1:23" s="521" customFormat="1" ht="22.5">
      <c r="A371" s="142">
        <v>13</v>
      </c>
      <c r="B371" s="319" t="s">
        <v>34</v>
      </c>
      <c r="C371" s="180" t="s">
        <v>122</v>
      </c>
      <c r="D371" s="51">
        <f t="shared" si="38"/>
        <v>17880</v>
      </c>
      <c r="E371" s="51">
        <f t="shared" si="39"/>
        <v>0</v>
      </c>
      <c r="F371" s="147"/>
      <c r="G371" s="135"/>
      <c r="H371" s="135"/>
      <c r="I371" s="135"/>
      <c r="J371" s="135"/>
      <c r="K371" s="51">
        <f t="shared" si="40"/>
        <v>17880</v>
      </c>
      <c r="L371" s="332">
        <v>0</v>
      </c>
      <c r="M371" s="147"/>
      <c r="N371" s="147"/>
      <c r="O371" s="147"/>
      <c r="P371" s="152"/>
      <c r="Q371" s="145">
        <v>7200</v>
      </c>
      <c r="R371" s="147"/>
      <c r="S371" s="145">
        <v>5280</v>
      </c>
      <c r="T371" s="334">
        <v>0</v>
      </c>
      <c r="U371" s="145">
        <v>0</v>
      </c>
      <c r="V371" s="145">
        <v>5400</v>
      </c>
      <c r="W371" s="137"/>
    </row>
    <row r="372" spans="1:23" s="521" customFormat="1" ht="22.5">
      <c r="A372" s="142">
        <v>14</v>
      </c>
      <c r="B372" s="319" t="s">
        <v>34</v>
      </c>
      <c r="C372" s="180" t="s">
        <v>407</v>
      </c>
      <c r="D372" s="51">
        <f t="shared" si="38"/>
        <v>52400</v>
      </c>
      <c r="E372" s="51">
        <f t="shared" si="39"/>
        <v>0</v>
      </c>
      <c r="F372" s="147"/>
      <c r="G372" s="135"/>
      <c r="H372" s="135"/>
      <c r="I372" s="135"/>
      <c r="J372" s="135"/>
      <c r="K372" s="51">
        <f t="shared" si="40"/>
        <v>52400</v>
      </c>
      <c r="L372" s="332">
        <v>16000</v>
      </c>
      <c r="M372" s="147"/>
      <c r="N372" s="147">
        <v>3000</v>
      </c>
      <c r="O372" s="147"/>
      <c r="P372" s="152"/>
      <c r="Q372" s="145"/>
      <c r="R372" s="147"/>
      <c r="S372" s="145">
        <v>16400</v>
      </c>
      <c r="T372" s="334">
        <v>0</v>
      </c>
      <c r="U372" s="145">
        <v>0</v>
      </c>
      <c r="V372" s="145">
        <v>17000</v>
      </c>
      <c r="W372" s="137"/>
    </row>
    <row r="373" spans="1:23" s="521" customFormat="1">
      <c r="A373" s="142">
        <v>16</v>
      </c>
      <c r="B373" s="319" t="s">
        <v>34</v>
      </c>
      <c r="C373" s="339" t="s">
        <v>123</v>
      </c>
      <c r="D373" s="51">
        <f t="shared" si="38"/>
        <v>116644</v>
      </c>
      <c r="E373" s="51">
        <f t="shared" si="39"/>
        <v>20000</v>
      </c>
      <c r="F373" s="147">
        <v>20000</v>
      </c>
      <c r="G373" s="135"/>
      <c r="H373" s="135"/>
      <c r="I373" s="135"/>
      <c r="J373" s="135"/>
      <c r="K373" s="51">
        <f t="shared" si="40"/>
        <v>96644</v>
      </c>
      <c r="L373" s="332">
        <v>3800</v>
      </c>
      <c r="M373" s="147"/>
      <c r="N373" s="147"/>
      <c r="O373" s="147"/>
      <c r="P373" s="337">
        <v>32694</v>
      </c>
      <c r="Q373" s="145">
        <v>5900</v>
      </c>
      <c r="R373" s="147">
        <v>30240</v>
      </c>
      <c r="S373" s="145"/>
      <c r="T373" s="334">
        <v>2760</v>
      </c>
      <c r="U373" s="145">
        <v>5960</v>
      </c>
      <c r="V373" s="145">
        <v>6690</v>
      </c>
      <c r="W373" s="137">
        <v>8600</v>
      </c>
    </row>
    <row r="374" spans="1:23" s="521" customFormat="1">
      <c r="A374" s="142">
        <v>19</v>
      </c>
      <c r="B374" s="319" t="s">
        <v>34</v>
      </c>
      <c r="C374" s="339" t="s">
        <v>124</v>
      </c>
      <c r="D374" s="51">
        <f t="shared" si="38"/>
        <v>348910</v>
      </c>
      <c r="E374" s="51">
        <f t="shared" si="39"/>
        <v>0</v>
      </c>
      <c r="F374" s="147"/>
      <c r="G374" s="135"/>
      <c r="H374" s="135"/>
      <c r="I374" s="135"/>
      <c r="J374" s="135"/>
      <c r="K374" s="51">
        <f t="shared" si="40"/>
        <v>348910</v>
      </c>
      <c r="L374" s="332">
        <v>16000</v>
      </c>
      <c r="M374" s="147">
        <v>11000</v>
      </c>
      <c r="N374" s="147">
        <v>40000</v>
      </c>
      <c r="O374" s="147">
        <v>7500</v>
      </c>
      <c r="P374" s="152"/>
      <c r="Q374" s="145">
        <v>30000</v>
      </c>
      <c r="R374" s="147">
        <v>100000</v>
      </c>
      <c r="S374" s="145">
        <v>56500</v>
      </c>
      <c r="T374" s="336">
        <v>32000</v>
      </c>
      <c r="U374" s="145">
        <v>16000</v>
      </c>
      <c r="V374" s="145">
        <v>23400</v>
      </c>
      <c r="W374" s="137">
        <v>16510</v>
      </c>
    </row>
    <row r="375" spans="1:23" s="521" customFormat="1" ht="22.5">
      <c r="A375" s="142">
        <v>21</v>
      </c>
      <c r="B375" s="319" t="s">
        <v>34</v>
      </c>
      <c r="C375" s="180" t="s">
        <v>408</v>
      </c>
      <c r="D375" s="51">
        <f t="shared" si="38"/>
        <v>106000</v>
      </c>
      <c r="E375" s="51">
        <f t="shared" si="39"/>
        <v>106000</v>
      </c>
      <c r="F375" s="147">
        <v>106000</v>
      </c>
      <c r="G375" s="135"/>
      <c r="H375" s="135"/>
      <c r="I375" s="135"/>
      <c r="J375" s="135"/>
      <c r="K375" s="51">
        <f t="shared" si="40"/>
        <v>0</v>
      </c>
      <c r="L375" s="332"/>
      <c r="M375" s="147">
        <v>0</v>
      </c>
      <c r="N375" s="147">
        <v>0</v>
      </c>
      <c r="O375" s="147">
        <v>0</v>
      </c>
      <c r="P375" s="152">
        <v>0</v>
      </c>
      <c r="Q375" s="145">
        <v>0</v>
      </c>
      <c r="R375" s="147">
        <v>0</v>
      </c>
      <c r="S375" s="145">
        <v>0</v>
      </c>
      <c r="T375" s="334">
        <v>0</v>
      </c>
      <c r="U375" s="145">
        <v>0</v>
      </c>
      <c r="V375" s="340">
        <v>0</v>
      </c>
      <c r="W375" s="137">
        <v>0</v>
      </c>
    </row>
    <row r="376" spans="1:23" s="521" customFormat="1" ht="22.5">
      <c r="A376" s="142">
        <v>22</v>
      </c>
      <c r="B376" s="319" t="s">
        <v>34</v>
      </c>
      <c r="C376" s="180" t="s">
        <v>409</v>
      </c>
      <c r="D376" s="51">
        <f t="shared" si="38"/>
        <v>44300</v>
      </c>
      <c r="E376" s="51">
        <f t="shared" si="39"/>
        <v>20000</v>
      </c>
      <c r="F376" s="147">
        <v>20000</v>
      </c>
      <c r="G376" s="135"/>
      <c r="H376" s="135"/>
      <c r="I376" s="135"/>
      <c r="J376" s="135"/>
      <c r="K376" s="51">
        <f t="shared" si="40"/>
        <v>24300</v>
      </c>
      <c r="L376" s="341">
        <v>0</v>
      </c>
      <c r="M376" s="147"/>
      <c r="N376" s="342">
        <v>7200</v>
      </c>
      <c r="O376" s="342"/>
      <c r="P376" s="152"/>
      <c r="Q376" s="343"/>
      <c r="R376" s="147">
        <v>17100</v>
      </c>
      <c r="S376" s="145"/>
      <c r="T376" s="344">
        <v>0</v>
      </c>
      <c r="U376" s="343">
        <v>0</v>
      </c>
      <c r="V376" s="522"/>
      <c r="W376" s="345"/>
    </row>
    <row r="377" spans="1:23" s="521" customFormat="1">
      <c r="A377" s="142">
        <v>23</v>
      </c>
      <c r="B377" s="319" t="s">
        <v>34</v>
      </c>
      <c r="C377" s="346" t="s">
        <v>215</v>
      </c>
      <c r="D377" s="51">
        <f t="shared" si="38"/>
        <v>81485</v>
      </c>
      <c r="E377" s="51">
        <f t="shared" si="39"/>
        <v>0</v>
      </c>
      <c r="F377" s="147"/>
      <c r="G377" s="135"/>
      <c r="H377" s="135"/>
      <c r="I377" s="135"/>
      <c r="J377" s="135"/>
      <c r="K377" s="51">
        <f t="shared" si="40"/>
        <v>81485</v>
      </c>
      <c r="L377" s="341">
        <v>16000</v>
      </c>
      <c r="M377" s="147"/>
      <c r="N377" s="342"/>
      <c r="O377" s="342"/>
      <c r="P377" s="337">
        <v>5000</v>
      </c>
      <c r="Q377" s="343">
        <v>2135</v>
      </c>
      <c r="R377" s="147">
        <v>9000</v>
      </c>
      <c r="S377" s="145">
        <v>7850</v>
      </c>
      <c r="T377" s="344">
        <v>20000</v>
      </c>
      <c r="U377" s="343">
        <v>10000</v>
      </c>
      <c r="V377" s="343">
        <v>11500</v>
      </c>
      <c r="W377" s="345"/>
    </row>
    <row r="378" spans="1:23" s="521" customFormat="1" ht="33.75">
      <c r="A378" s="142">
        <v>24</v>
      </c>
      <c r="B378" s="319" t="s">
        <v>34</v>
      </c>
      <c r="C378" s="180" t="s">
        <v>410</v>
      </c>
      <c r="D378" s="51">
        <f t="shared" si="38"/>
        <v>114400</v>
      </c>
      <c r="E378" s="51">
        <f t="shared" si="39"/>
        <v>40000</v>
      </c>
      <c r="F378" s="147">
        <v>40000</v>
      </c>
      <c r="G378" s="135"/>
      <c r="H378" s="135"/>
      <c r="I378" s="135"/>
      <c r="J378" s="135"/>
      <c r="K378" s="51">
        <f t="shared" si="40"/>
        <v>74400</v>
      </c>
      <c r="L378" s="341">
        <v>3400</v>
      </c>
      <c r="M378" s="147"/>
      <c r="N378" s="342">
        <v>33200</v>
      </c>
      <c r="O378" s="342"/>
      <c r="P378" s="337"/>
      <c r="Q378" s="343"/>
      <c r="R378" s="147">
        <v>4000</v>
      </c>
      <c r="S378" s="145">
        <v>2500</v>
      </c>
      <c r="T378" s="336">
        <v>17000</v>
      </c>
      <c r="U378" s="343">
        <v>8500</v>
      </c>
      <c r="V378" s="343">
        <v>800</v>
      </c>
      <c r="W378" s="137">
        <v>5000</v>
      </c>
    </row>
    <row r="379" spans="1:23" s="521" customFormat="1" ht="22.5">
      <c r="A379" s="142">
        <v>25</v>
      </c>
      <c r="B379" s="319" t="s">
        <v>34</v>
      </c>
      <c r="C379" s="106" t="s">
        <v>411</v>
      </c>
      <c r="D379" s="51">
        <f t="shared" si="38"/>
        <v>219350</v>
      </c>
      <c r="E379" s="51">
        <f t="shared" si="39"/>
        <v>30000</v>
      </c>
      <c r="F379" s="147">
        <v>30000</v>
      </c>
      <c r="G379" s="135"/>
      <c r="H379" s="135"/>
      <c r="I379" s="135"/>
      <c r="J379" s="135"/>
      <c r="K379" s="51">
        <f t="shared" si="40"/>
        <v>189350</v>
      </c>
      <c r="L379" s="341">
        <v>20000</v>
      </c>
      <c r="M379" s="147"/>
      <c r="N379" s="342"/>
      <c r="O379" s="342">
        <v>80550</v>
      </c>
      <c r="P379" s="337">
        <v>12300</v>
      </c>
      <c r="Q379" s="343"/>
      <c r="R379" s="147"/>
      <c r="S379" s="145"/>
      <c r="T379" s="336">
        <v>46000</v>
      </c>
      <c r="U379" s="343">
        <v>23000</v>
      </c>
      <c r="V379" s="343">
        <v>7500</v>
      </c>
      <c r="W379" s="137"/>
    </row>
    <row r="380" spans="1:23" s="521" customFormat="1">
      <c r="A380" s="142">
        <v>26</v>
      </c>
      <c r="B380" s="319" t="s">
        <v>34</v>
      </c>
      <c r="C380" s="106" t="s">
        <v>292</v>
      </c>
      <c r="D380" s="51">
        <f t="shared" si="38"/>
        <v>4000</v>
      </c>
      <c r="E380" s="51">
        <f t="shared" si="39"/>
        <v>0</v>
      </c>
      <c r="F380" s="147"/>
      <c r="G380" s="135"/>
      <c r="H380" s="135"/>
      <c r="I380" s="135"/>
      <c r="J380" s="135"/>
      <c r="K380" s="51">
        <f t="shared" si="40"/>
        <v>4000</v>
      </c>
      <c r="L380" s="341"/>
      <c r="M380" s="147"/>
      <c r="N380" s="342"/>
      <c r="O380" s="342"/>
      <c r="P380" s="337"/>
      <c r="Q380" s="343"/>
      <c r="R380" s="147"/>
      <c r="S380" s="145"/>
      <c r="T380" s="336">
        <v>0</v>
      </c>
      <c r="U380" s="343"/>
      <c r="V380" s="343">
        <v>4000</v>
      </c>
      <c r="W380" s="137"/>
    </row>
    <row r="381" spans="1:23" s="521" customFormat="1">
      <c r="A381" s="142">
        <v>27</v>
      </c>
      <c r="B381" s="319" t="s">
        <v>34</v>
      </c>
      <c r="C381" s="106" t="s">
        <v>291</v>
      </c>
      <c r="D381" s="51">
        <f t="shared" si="38"/>
        <v>700</v>
      </c>
      <c r="E381" s="51">
        <f t="shared" si="39"/>
        <v>0</v>
      </c>
      <c r="F381" s="147"/>
      <c r="G381" s="135"/>
      <c r="H381" s="135"/>
      <c r="I381" s="135"/>
      <c r="J381" s="135"/>
      <c r="K381" s="51">
        <f t="shared" si="40"/>
        <v>700</v>
      </c>
      <c r="L381" s="341"/>
      <c r="M381" s="147"/>
      <c r="N381" s="342"/>
      <c r="O381" s="342"/>
      <c r="P381" s="337"/>
      <c r="Q381" s="343"/>
      <c r="R381" s="147"/>
      <c r="S381" s="145"/>
      <c r="T381" s="336">
        <v>0</v>
      </c>
      <c r="U381" s="343"/>
      <c r="V381" s="343">
        <v>700</v>
      </c>
      <c r="W381" s="137"/>
    </row>
    <row r="382" spans="1:23" s="521" customFormat="1">
      <c r="A382" s="347" t="s">
        <v>260</v>
      </c>
      <c r="B382" s="318" t="s">
        <v>34</v>
      </c>
      <c r="C382" s="348" t="s">
        <v>130</v>
      </c>
      <c r="D382" s="51">
        <f t="shared" si="38"/>
        <v>606060</v>
      </c>
      <c r="E382" s="51">
        <f t="shared" si="39"/>
        <v>457000</v>
      </c>
      <c r="F382" s="349">
        <f>SUM(F383:F387)</f>
        <v>457000</v>
      </c>
      <c r="G382" s="349">
        <f t="shared" ref="G382:W382" si="44">SUM(G383:G387)</f>
        <v>0</v>
      </c>
      <c r="H382" s="349">
        <f t="shared" si="44"/>
        <v>0</v>
      </c>
      <c r="I382" s="349">
        <f t="shared" si="44"/>
        <v>0</v>
      </c>
      <c r="J382" s="349">
        <f t="shared" si="44"/>
        <v>0</v>
      </c>
      <c r="K382" s="51">
        <f t="shared" si="40"/>
        <v>149060</v>
      </c>
      <c r="L382" s="349">
        <f t="shared" si="44"/>
        <v>10100</v>
      </c>
      <c r="M382" s="349">
        <f t="shared" si="44"/>
        <v>3000</v>
      </c>
      <c r="N382" s="349">
        <f t="shared" si="44"/>
        <v>3000</v>
      </c>
      <c r="O382" s="349">
        <f t="shared" si="44"/>
        <v>13450</v>
      </c>
      <c r="P382" s="349">
        <f t="shared" si="44"/>
        <v>3500</v>
      </c>
      <c r="Q382" s="349">
        <f t="shared" si="44"/>
        <v>21530</v>
      </c>
      <c r="R382" s="349">
        <f t="shared" si="44"/>
        <v>15020</v>
      </c>
      <c r="S382" s="349">
        <f t="shared" si="44"/>
        <v>12920</v>
      </c>
      <c r="T382" s="349">
        <f t="shared" si="44"/>
        <v>14160</v>
      </c>
      <c r="U382" s="349">
        <f t="shared" si="44"/>
        <v>26200</v>
      </c>
      <c r="V382" s="349">
        <f t="shared" si="44"/>
        <v>7000</v>
      </c>
      <c r="W382" s="349">
        <f t="shared" si="44"/>
        <v>19180</v>
      </c>
    </row>
    <row r="383" spans="1:23" s="521" customFormat="1" ht="22.5">
      <c r="A383" s="142">
        <v>1</v>
      </c>
      <c r="B383" s="319" t="s">
        <v>34</v>
      </c>
      <c r="C383" s="350" t="s">
        <v>125</v>
      </c>
      <c r="D383" s="51">
        <f t="shared" si="38"/>
        <v>119000</v>
      </c>
      <c r="E383" s="51">
        <f t="shared" si="39"/>
        <v>119000</v>
      </c>
      <c r="F383" s="147">
        <v>119000</v>
      </c>
      <c r="G383" s="135"/>
      <c r="H383" s="135"/>
      <c r="I383" s="135"/>
      <c r="J383" s="135"/>
      <c r="K383" s="51">
        <f t="shared" si="40"/>
        <v>0</v>
      </c>
      <c r="L383" s="341"/>
      <c r="M383" s="342"/>
      <c r="N383" s="135"/>
      <c r="O383" s="342"/>
      <c r="P383" s="152"/>
      <c r="Q383" s="343"/>
      <c r="R383" s="147"/>
      <c r="S383" s="145"/>
      <c r="T383" s="344"/>
      <c r="U383" s="343"/>
      <c r="V383" s="343"/>
      <c r="W383" s="345"/>
    </row>
    <row r="384" spans="1:23" s="521" customFormat="1">
      <c r="A384" s="142">
        <v>3</v>
      </c>
      <c r="B384" s="319" t="s">
        <v>34</v>
      </c>
      <c r="C384" s="351" t="s">
        <v>126</v>
      </c>
      <c r="D384" s="51">
        <f t="shared" si="38"/>
        <v>268000</v>
      </c>
      <c r="E384" s="51">
        <f t="shared" si="39"/>
        <v>268000</v>
      </c>
      <c r="F384" s="147">
        <v>268000</v>
      </c>
      <c r="G384" s="135"/>
      <c r="H384" s="135"/>
      <c r="I384" s="135"/>
      <c r="J384" s="135"/>
      <c r="K384" s="51">
        <f t="shared" si="40"/>
        <v>0</v>
      </c>
      <c r="L384" s="341">
        <v>0</v>
      </c>
      <c r="M384" s="342">
        <v>0</v>
      </c>
      <c r="N384" s="135">
        <v>0</v>
      </c>
      <c r="O384" s="342">
        <v>0</v>
      </c>
      <c r="P384" s="152">
        <v>0</v>
      </c>
      <c r="Q384" s="343">
        <v>0</v>
      </c>
      <c r="R384" s="147"/>
      <c r="S384" s="145">
        <v>0</v>
      </c>
      <c r="T384" s="344">
        <v>0</v>
      </c>
      <c r="U384" s="343">
        <v>0</v>
      </c>
      <c r="V384" s="343">
        <v>0</v>
      </c>
      <c r="W384" s="345">
        <v>0</v>
      </c>
    </row>
    <row r="385" spans="1:23" s="521" customFormat="1">
      <c r="A385" s="142">
        <v>4</v>
      </c>
      <c r="B385" s="319" t="s">
        <v>34</v>
      </c>
      <c r="C385" s="350" t="s">
        <v>127</v>
      </c>
      <c r="D385" s="51">
        <f t="shared" si="38"/>
        <v>116950</v>
      </c>
      <c r="E385" s="51">
        <f t="shared" si="39"/>
        <v>50000</v>
      </c>
      <c r="F385" s="147">
        <v>50000</v>
      </c>
      <c r="G385" s="135"/>
      <c r="H385" s="135"/>
      <c r="I385" s="135"/>
      <c r="J385" s="135"/>
      <c r="K385" s="51">
        <f t="shared" si="40"/>
        <v>66950</v>
      </c>
      <c r="L385" s="341"/>
      <c r="M385" s="342"/>
      <c r="N385" s="135"/>
      <c r="O385" s="342">
        <v>9950</v>
      </c>
      <c r="P385" s="152"/>
      <c r="Q385" s="343">
        <v>5900</v>
      </c>
      <c r="R385" s="147">
        <v>6720</v>
      </c>
      <c r="S385" s="343">
        <v>3720</v>
      </c>
      <c r="T385" s="344">
        <v>7400</v>
      </c>
      <c r="U385" s="343">
        <v>18480</v>
      </c>
      <c r="V385" s="343">
        <v>1500</v>
      </c>
      <c r="W385" s="345">
        <v>13280</v>
      </c>
    </row>
    <row r="386" spans="1:23" s="521" customFormat="1">
      <c r="A386" s="142">
        <v>5</v>
      </c>
      <c r="B386" s="319" t="s">
        <v>34</v>
      </c>
      <c r="C386" s="352" t="s">
        <v>128</v>
      </c>
      <c r="D386" s="51">
        <f t="shared" si="38"/>
        <v>39610</v>
      </c>
      <c r="E386" s="51">
        <f t="shared" si="39"/>
        <v>0</v>
      </c>
      <c r="F386" s="147"/>
      <c r="G386" s="135"/>
      <c r="H386" s="135"/>
      <c r="I386" s="135"/>
      <c r="J386" s="135"/>
      <c r="K386" s="51">
        <f t="shared" si="40"/>
        <v>39610</v>
      </c>
      <c r="L386" s="341">
        <v>6100</v>
      </c>
      <c r="M386" s="342"/>
      <c r="N386" s="135"/>
      <c r="O386" s="343"/>
      <c r="P386" s="152"/>
      <c r="Q386" s="343">
        <v>10630</v>
      </c>
      <c r="R386" s="147">
        <v>4800</v>
      </c>
      <c r="S386" s="343">
        <v>5200</v>
      </c>
      <c r="T386" s="344">
        <v>2760</v>
      </c>
      <c r="U386" s="343">
        <v>4720</v>
      </c>
      <c r="V386" s="343">
        <v>2500</v>
      </c>
      <c r="W386" s="345">
        <v>2900</v>
      </c>
    </row>
    <row r="387" spans="1:23" s="521" customFormat="1">
      <c r="A387" s="142">
        <v>6</v>
      </c>
      <c r="B387" s="319" t="s">
        <v>34</v>
      </c>
      <c r="C387" s="106" t="s">
        <v>412</v>
      </c>
      <c r="D387" s="51">
        <f t="shared" si="38"/>
        <v>62500</v>
      </c>
      <c r="E387" s="51">
        <f t="shared" si="39"/>
        <v>20000</v>
      </c>
      <c r="F387" s="147">
        <v>20000</v>
      </c>
      <c r="G387" s="135"/>
      <c r="H387" s="135"/>
      <c r="I387" s="135"/>
      <c r="J387" s="135"/>
      <c r="K387" s="51">
        <f t="shared" si="40"/>
        <v>42500</v>
      </c>
      <c r="L387" s="341">
        <v>4000</v>
      </c>
      <c r="M387" s="342">
        <v>3000</v>
      </c>
      <c r="N387" s="135">
        <v>3000</v>
      </c>
      <c r="O387" s="343">
        <v>3500</v>
      </c>
      <c r="P387" s="152">
        <v>3500</v>
      </c>
      <c r="Q387" s="343">
        <v>5000</v>
      </c>
      <c r="R387" s="147">
        <v>3500</v>
      </c>
      <c r="S387" s="343">
        <v>4000</v>
      </c>
      <c r="T387" s="344">
        <v>4000</v>
      </c>
      <c r="U387" s="343">
        <v>3000</v>
      </c>
      <c r="V387" s="343">
        <v>3000</v>
      </c>
      <c r="W387" s="345">
        <v>3000</v>
      </c>
    </row>
    <row r="388" spans="1:23" s="35" customFormat="1" ht="10.5">
      <c r="A388" s="95">
        <v>10</v>
      </c>
      <c r="B388" s="318" t="s">
        <v>34</v>
      </c>
      <c r="C388" s="129" t="s">
        <v>238</v>
      </c>
      <c r="D388" s="51">
        <f t="shared" si="38"/>
        <v>1246776.5</v>
      </c>
      <c r="E388" s="51">
        <f t="shared" si="39"/>
        <v>500000</v>
      </c>
      <c r="F388" s="96">
        <f>F389+F395+F405</f>
        <v>500000</v>
      </c>
      <c r="G388" s="96">
        <f>G389+G405</f>
        <v>0</v>
      </c>
      <c r="H388" s="96">
        <f>H389+H405</f>
        <v>0</v>
      </c>
      <c r="I388" s="96">
        <f>I389+I405</f>
        <v>0</v>
      </c>
      <c r="J388" s="96">
        <f>J389+J405</f>
        <v>0</v>
      </c>
      <c r="K388" s="51">
        <f t="shared" si="40"/>
        <v>746776.5</v>
      </c>
      <c r="L388" s="96">
        <f>L389+L395+L405</f>
        <v>123400</v>
      </c>
      <c r="M388" s="96">
        <f t="shared" ref="M388:W388" si="45">M389+M395+M405</f>
        <v>117600</v>
      </c>
      <c r="N388" s="96">
        <f t="shared" si="45"/>
        <v>8700</v>
      </c>
      <c r="O388" s="96">
        <f t="shared" si="45"/>
        <v>47709.5</v>
      </c>
      <c r="P388" s="96">
        <f t="shared" si="45"/>
        <v>74380</v>
      </c>
      <c r="Q388" s="96">
        <f t="shared" si="45"/>
        <v>52800</v>
      </c>
      <c r="R388" s="96">
        <f t="shared" si="45"/>
        <v>4547</v>
      </c>
      <c r="S388" s="96">
        <f t="shared" si="45"/>
        <v>32440</v>
      </c>
      <c r="T388" s="96">
        <f t="shared" si="45"/>
        <v>41826</v>
      </c>
      <c r="U388" s="96">
        <f t="shared" si="45"/>
        <v>50210</v>
      </c>
      <c r="V388" s="96">
        <f t="shared" si="45"/>
        <v>101964</v>
      </c>
      <c r="W388" s="96">
        <f t="shared" si="45"/>
        <v>91200</v>
      </c>
    </row>
    <row r="389" spans="1:23" s="3" customFormat="1" ht="21">
      <c r="A389" s="353" t="s">
        <v>583</v>
      </c>
      <c r="B389" s="319" t="s">
        <v>34</v>
      </c>
      <c r="C389" s="218" t="s">
        <v>28</v>
      </c>
      <c r="D389" s="51">
        <f t="shared" si="38"/>
        <v>50000</v>
      </c>
      <c r="E389" s="51">
        <f t="shared" si="39"/>
        <v>50000</v>
      </c>
      <c r="F389" s="101">
        <f>SUM(F390:F394)</f>
        <v>50000</v>
      </c>
      <c r="G389" s="101">
        <f t="shared" ref="G389:J389" si="46">SUM(G390:G394)</f>
        <v>0</v>
      </c>
      <c r="H389" s="101">
        <f t="shared" si="46"/>
        <v>0</v>
      </c>
      <c r="I389" s="101">
        <f t="shared" si="46"/>
        <v>0</v>
      </c>
      <c r="J389" s="101">
        <f t="shared" si="46"/>
        <v>0</v>
      </c>
      <c r="K389" s="51">
        <f t="shared" si="40"/>
        <v>0</v>
      </c>
      <c r="L389" s="101">
        <f t="shared" ref="L389:W389" si="47">SUM(L390:L394)</f>
        <v>0</v>
      </c>
      <c r="M389" s="101">
        <f t="shared" si="47"/>
        <v>0</v>
      </c>
      <c r="N389" s="101">
        <f t="shared" si="47"/>
        <v>0</v>
      </c>
      <c r="O389" s="101">
        <f t="shared" si="47"/>
        <v>0</v>
      </c>
      <c r="P389" s="101">
        <f t="shared" si="47"/>
        <v>0</v>
      </c>
      <c r="Q389" s="101">
        <f t="shared" si="47"/>
        <v>0</v>
      </c>
      <c r="R389" s="101">
        <f t="shared" si="47"/>
        <v>0</v>
      </c>
      <c r="S389" s="101">
        <f t="shared" si="47"/>
        <v>0</v>
      </c>
      <c r="T389" s="101">
        <f t="shared" si="47"/>
        <v>0</v>
      </c>
      <c r="U389" s="101">
        <f t="shared" si="47"/>
        <v>0</v>
      </c>
      <c r="V389" s="101">
        <f t="shared" si="47"/>
        <v>0</v>
      </c>
      <c r="W389" s="101">
        <f t="shared" si="47"/>
        <v>0</v>
      </c>
    </row>
    <row r="390" spans="1:23" s="1" customFormat="1" ht="22.5">
      <c r="A390" s="138">
        <v>1</v>
      </c>
      <c r="B390" s="354" t="s">
        <v>34</v>
      </c>
      <c r="C390" s="355" t="s">
        <v>330</v>
      </c>
      <c r="D390" s="207">
        <f t="shared" si="38"/>
        <v>10000</v>
      </c>
      <c r="E390" s="207">
        <f t="shared" si="39"/>
        <v>10000</v>
      </c>
      <c r="F390" s="123">
        <v>10000</v>
      </c>
      <c r="G390" s="523"/>
      <c r="H390" s="135"/>
      <c r="I390" s="135"/>
      <c r="J390" s="135"/>
      <c r="K390" s="207">
        <f t="shared" si="40"/>
        <v>0</v>
      </c>
      <c r="L390" s="111"/>
      <c r="M390" s="356"/>
      <c r="N390" s="117"/>
      <c r="O390" s="109"/>
      <c r="P390" s="135"/>
      <c r="Q390" s="135"/>
      <c r="R390" s="115"/>
      <c r="S390" s="117"/>
      <c r="T390" s="135"/>
      <c r="U390" s="117"/>
      <c r="V390" s="117"/>
      <c r="W390" s="117"/>
    </row>
    <row r="391" spans="1:23" s="1" customFormat="1" ht="22.5">
      <c r="A391" s="138">
        <v>2</v>
      </c>
      <c r="B391" s="354" t="s">
        <v>34</v>
      </c>
      <c r="C391" s="355" t="s">
        <v>331</v>
      </c>
      <c r="D391" s="207">
        <f t="shared" si="38"/>
        <v>20000</v>
      </c>
      <c r="E391" s="207">
        <f t="shared" si="39"/>
        <v>20000</v>
      </c>
      <c r="F391" s="123">
        <v>20000</v>
      </c>
      <c r="G391" s="523"/>
      <c r="H391" s="135"/>
      <c r="I391" s="135"/>
      <c r="J391" s="135"/>
      <c r="K391" s="207">
        <f t="shared" si="40"/>
        <v>0</v>
      </c>
      <c r="L391" s="111"/>
      <c r="M391" s="356"/>
      <c r="N391" s="135"/>
      <c r="O391" s="117"/>
      <c r="P391" s="135"/>
      <c r="Q391" s="135"/>
      <c r="R391" s="135"/>
      <c r="S391" s="117"/>
      <c r="T391" s="135"/>
      <c r="U391" s="117"/>
      <c r="V391" s="117"/>
      <c r="W391" s="117"/>
    </row>
    <row r="392" spans="1:23" s="1" customFormat="1">
      <c r="A392" s="138">
        <v>3</v>
      </c>
      <c r="B392" s="354" t="s">
        <v>34</v>
      </c>
      <c r="C392" s="355" t="s">
        <v>332</v>
      </c>
      <c r="D392" s="207">
        <f t="shared" si="38"/>
        <v>0</v>
      </c>
      <c r="E392" s="207">
        <f t="shared" si="39"/>
        <v>0</v>
      </c>
      <c r="F392" s="123"/>
      <c r="G392" s="523"/>
      <c r="H392" s="135"/>
      <c r="I392" s="135"/>
      <c r="J392" s="135"/>
      <c r="K392" s="207">
        <f t="shared" si="40"/>
        <v>0</v>
      </c>
      <c r="L392" s="111"/>
      <c r="M392" s="356"/>
      <c r="N392" s="135"/>
      <c r="O392" s="117"/>
      <c r="P392" s="135"/>
      <c r="Q392" s="135"/>
      <c r="R392" s="135"/>
      <c r="S392" s="117"/>
      <c r="T392" s="135"/>
      <c r="U392" s="117"/>
      <c r="V392" s="117"/>
      <c r="W392" s="117"/>
    </row>
    <row r="393" spans="1:23" s="1" customFormat="1" ht="33.75">
      <c r="A393" s="138">
        <v>4</v>
      </c>
      <c r="B393" s="354" t="s">
        <v>34</v>
      </c>
      <c r="C393" s="355" t="s">
        <v>333</v>
      </c>
      <c r="D393" s="207">
        <f t="shared" si="38"/>
        <v>10000</v>
      </c>
      <c r="E393" s="207">
        <f t="shared" si="39"/>
        <v>10000</v>
      </c>
      <c r="F393" s="123">
        <v>10000</v>
      </c>
      <c r="G393" s="523"/>
      <c r="H393" s="135"/>
      <c r="I393" s="135"/>
      <c r="J393" s="135"/>
      <c r="K393" s="207">
        <f t="shared" si="40"/>
        <v>0</v>
      </c>
      <c r="L393" s="111"/>
      <c r="M393" s="356"/>
      <c r="N393" s="135"/>
      <c r="O393" s="117"/>
      <c r="P393" s="135"/>
      <c r="Q393" s="135"/>
      <c r="R393" s="135"/>
      <c r="S393" s="117"/>
      <c r="T393" s="135"/>
      <c r="U393" s="117"/>
      <c r="V393" s="117"/>
      <c r="W393" s="117"/>
    </row>
    <row r="394" spans="1:23" s="1" customFormat="1" ht="22.5">
      <c r="A394" s="138">
        <v>5</v>
      </c>
      <c r="B394" s="354" t="s">
        <v>34</v>
      </c>
      <c r="C394" s="355" t="s">
        <v>334</v>
      </c>
      <c r="D394" s="207">
        <f t="shared" ref="D394:D457" si="48">E394+K394</f>
        <v>10000</v>
      </c>
      <c r="E394" s="207">
        <f t="shared" ref="E394:E457" si="49">SUM(F394:J394)</f>
        <v>10000</v>
      </c>
      <c r="F394" s="123">
        <v>10000</v>
      </c>
      <c r="G394" s="523"/>
      <c r="H394" s="135"/>
      <c r="I394" s="135"/>
      <c r="J394" s="135"/>
      <c r="K394" s="207">
        <f t="shared" ref="K394:K457" si="50">SUM(L394:W394)</f>
        <v>0</v>
      </c>
      <c r="L394" s="111"/>
      <c r="M394" s="356"/>
      <c r="N394" s="135"/>
      <c r="O394" s="117"/>
      <c r="P394" s="135"/>
      <c r="Q394" s="117"/>
      <c r="R394" s="135"/>
      <c r="S394" s="117"/>
      <c r="T394" s="135"/>
      <c r="U394" s="117"/>
      <c r="V394" s="117"/>
      <c r="W394" s="117"/>
    </row>
    <row r="395" spans="1:23" s="361" customFormat="1">
      <c r="A395" s="524" t="s">
        <v>584</v>
      </c>
      <c r="B395" s="357" t="s">
        <v>1</v>
      </c>
      <c r="C395" s="358"/>
      <c r="D395" s="359">
        <f t="shared" si="48"/>
        <v>2524636.5</v>
      </c>
      <c r="E395" s="359">
        <f t="shared" si="49"/>
        <v>1777860</v>
      </c>
      <c r="F395" s="360">
        <f>SUM(F396:F404)</f>
        <v>0</v>
      </c>
      <c r="G395" s="360">
        <f>SUM(G396:G404)</f>
        <v>1777860</v>
      </c>
      <c r="H395" s="360">
        <f>SUM(H396:H404)</f>
        <v>0</v>
      </c>
      <c r="I395" s="360">
        <f>SUM(I396:I404)</f>
        <v>0</v>
      </c>
      <c r="J395" s="360">
        <f>SUM(J396:J404)</f>
        <v>0</v>
      </c>
      <c r="K395" s="51">
        <f t="shared" si="50"/>
        <v>746776.5</v>
      </c>
      <c r="L395" s="360">
        <f t="shared" ref="L395:W395" si="51">SUM(L396:L404)</f>
        <v>123400</v>
      </c>
      <c r="M395" s="360">
        <f t="shared" si="51"/>
        <v>117600</v>
      </c>
      <c r="N395" s="360">
        <f t="shared" si="51"/>
        <v>8700</v>
      </c>
      <c r="O395" s="360">
        <f t="shared" si="51"/>
        <v>47709.5</v>
      </c>
      <c r="P395" s="360">
        <f t="shared" si="51"/>
        <v>74380</v>
      </c>
      <c r="Q395" s="360">
        <f t="shared" si="51"/>
        <v>52800</v>
      </c>
      <c r="R395" s="360">
        <f t="shared" si="51"/>
        <v>4547</v>
      </c>
      <c r="S395" s="360">
        <f t="shared" si="51"/>
        <v>32440</v>
      </c>
      <c r="T395" s="360">
        <f t="shared" si="51"/>
        <v>41826</v>
      </c>
      <c r="U395" s="360">
        <f t="shared" si="51"/>
        <v>50210</v>
      </c>
      <c r="V395" s="360">
        <f t="shared" si="51"/>
        <v>101964</v>
      </c>
      <c r="W395" s="360">
        <f t="shared" si="51"/>
        <v>91200</v>
      </c>
    </row>
    <row r="396" spans="1:23" s="1" customFormat="1">
      <c r="A396" s="48">
        <v>1</v>
      </c>
      <c r="B396" s="49" t="s">
        <v>1</v>
      </c>
      <c r="C396" s="50" t="s">
        <v>549</v>
      </c>
      <c r="D396" s="51">
        <f t="shared" si="48"/>
        <v>67940</v>
      </c>
      <c r="E396" s="51">
        <f t="shared" si="49"/>
        <v>19500</v>
      </c>
      <c r="F396" s="52"/>
      <c r="G396" s="53">
        <v>19500</v>
      </c>
      <c r="H396" s="53"/>
      <c r="I396" s="53"/>
      <c r="J396" s="53"/>
      <c r="K396" s="51">
        <f t="shared" si="50"/>
        <v>48440</v>
      </c>
      <c r="L396" s="53"/>
      <c r="M396" s="53">
        <v>10000</v>
      </c>
      <c r="N396" s="53"/>
      <c r="O396" s="53"/>
      <c r="P396" s="53"/>
      <c r="Q396" s="53">
        <v>12000</v>
      </c>
      <c r="R396" s="53">
        <v>960</v>
      </c>
      <c r="S396" s="53"/>
      <c r="T396" s="53"/>
      <c r="U396" s="53"/>
      <c r="V396" s="53">
        <v>5480</v>
      </c>
      <c r="W396" s="53">
        <v>20000</v>
      </c>
    </row>
    <row r="397" spans="1:23" s="1" customFormat="1" ht="22.5">
      <c r="A397" s="48">
        <v>2</v>
      </c>
      <c r="B397" s="49" t="s">
        <v>1</v>
      </c>
      <c r="C397" s="50" t="s">
        <v>550</v>
      </c>
      <c r="D397" s="51">
        <f t="shared" si="48"/>
        <v>126780</v>
      </c>
      <c r="E397" s="51">
        <f t="shared" si="49"/>
        <v>60800</v>
      </c>
      <c r="F397" s="52"/>
      <c r="G397" s="53">
        <v>60800</v>
      </c>
      <c r="H397" s="53"/>
      <c r="I397" s="53"/>
      <c r="J397" s="53"/>
      <c r="K397" s="51">
        <f t="shared" si="50"/>
        <v>65980</v>
      </c>
      <c r="L397" s="53">
        <v>20000</v>
      </c>
      <c r="M397" s="53">
        <v>10000</v>
      </c>
      <c r="N397" s="53">
        <v>2600</v>
      </c>
      <c r="O397" s="53"/>
      <c r="P397" s="53">
        <v>7000</v>
      </c>
      <c r="Q397" s="53"/>
      <c r="R397" s="53"/>
      <c r="S397" s="53">
        <v>13700</v>
      </c>
      <c r="T397" s="53"/>
      <c r="U397" s="53"/>
      <c r="V397" s="53">
        <v>7680</v>
      </c>
      <c r="W397" s="53">
        <v>5000</v>
      </c>
    </row>
    <row r="398" spans="1:23" s="1" customFormat="1" ht="33.75">
      <c r="A398" s="48">
        <v>3</v>
      </c>
      <c r="B398" s="49" t="s">
        <v>1</v>
      </c>
      <c r="C398" s="54" t="s">
        <v>551</v>
      </c>
      <c r="D398" s="51">
        <f t="shared" si="48"/>
        <v>215880</v>
      </c>
      <c r="E398" s="51">
        <f t="shared" si="49"/>
        <v>132560</v>
      </c>
      <c r="F398" s="52"/>
      <c r="G398" s="53">
        <v>132560</v>
      </c>
      <c r="H398" s="53"/>
      <c r="I398" s="53"/>
      <c r="J398" s="53"/>
      <c r="K398" s="51">
        <f t="shared" si="50"/>
        <v>83320</v>
      </c>
      <c r="L398" s="55"/>
      <c r="M398" s="56">
        <v>20000</v>
      </c>
      <c r="N398" s="57"/>
      <c r="O398" s="58"/>
      <c r="P398" s="59">
        <v>30880</v>
      </c>
      <c r="Q398" s="57"/>
      <c r="R398" s="57"/>
      <c r="S398" s="58"/>
      <c r="T398" s="57"/>
      <c r="U398" s="58"/>
      <c r="V398" s="58">
        <v>22440</v>
      </c>
      <c r="W398" s="60">
        <v>10000</v>
      </c>
    </row>
    <row r="399" spans="1:23" s="1" customFormat="1">
      <c r="A399" s="48">
        <v>4</v>
      </c>
      <c r="B399" s="49" t="s">
        <v>1</v>
      </c>
      <c r="C399" s="50" t="s">
        <v>552</v>
      </c>
      <c r="D399" s="51">
        <f t="shared" si="48"/>
        <v>225000</v>
      </c>
      <c r="E399" s="51">
        <f t="shared" si="49"/>
        <v>200000</v>
      </c>
      <c r="F399" s="52"/>
      <c r="G399" s="53">
        <v>200000</v>
      </c>
      <c r="H399" s="53"/>
      <c r="I399" s="53"/>
      <c r="J399" s="53"/>
      <c r="K399" s="51">
        <f t="shared" si="50"/>
        <v>25000</v>
      </c>
      <c r="L399" s="53"/>
      <c r="M399" s="53">
        <v>15000</v>
      </c>
      <c r="N399" s="53"/>
      <c r="O399" s="53"/>
      <c r="P399" s="53">
        <v>10000</v>
      </c>
      <c r="Q399" s="53"/>
      <c r="R399" s="53"/>
      <c r="S399" s="53"/>
      <c r="T399" s="53"/>
      <c r="U399" s="53"/>
      <c r="V399" s="53"/>
      <c r="W399" s="53"/>
    </row>
    <row r="400" spans="1:23" s="1" customFormat="1">
      <c r="A400" s="48">
        <v>5</v>
      </c>
      <c r="B400" s="49" t="s">
        <v>1</v>
      </c>
      <c r="C400" s="61" t="s">
        <v>553</v>
      </c>
      <c r="D400" s="51">
        <f t="shared" si="48"/>
        <v>962257</v>
      </c>
      <c r="E400" s="51">
        <f t="shared" si="49"/>
        <v>655000</v>
      </c>
      <c r="F400" s="52"/>
      <c r="G400" s="53">
        <v>655000</v>
      </c>
      <c r="H400" s="53"/>
      <c r="I400" s="53"/>
      <c r="J400" s="53"/>
      <c r="K400" s="51">
        <f t="shared" si="50"/>
        <v>307257</v>
      </c>
      <c r="L400" s="55">
        <v>103400</v>
      </c>
      <c r="M400" s="56">
        <v>15000</v>
      </c>
      <c r="N400" s="57">
        <v>6100</v>
      </c>
      <c r="O400" s="58">
        <v>24220</v>
      </c>
      <c r="P400" s="59">
        <v>7300</v>
      </c>
      <c r="Q400" s="57">
        <v>30000</v>
      </c>
      <c r="R400" s="57">
        <v>3587</v>
      </c>
      <c r="S400" s="58">
        <v>8740</v>
      </c>
      <c r="T400" s="57">
        <v>9500</v>
      </c>
      <c r="U400" s="58">
        <v>28010</v>
      </c>
      <c r="V400" s="58">
        <v>46400</v>
      </c>
      <c r="W400" s="60">
        <v>25000</v>
      </c>
    </row>
    <row r="401" spans="1:23" s="1" customFormat="1" ht="22.5">
      <c r="A401" s="48">
        <v>6</v>
      </c>
      <c r="B401" s="49" t="s">
        <v>1</v>
      </c>
      <c r="C401" s="62" t="s">
        <v>554</v>
      </c>
      <c r="D401" s="51">
        <f t="shared" si="48"/>
        <v>129689.5</v>
      </c>
      <c r="E401" s="51">
        <f t="shared" si="49"/>
        <v>0</v>
      </c>
      <c r="F401" s="52"/>
      <c r="G401" s="53"/>
      <c r="H401" s="53"/>
      <c r="I401" s="53"/>
      <c r="J401" s="53"/>
      <c r="K401" s="51">
        <f t="shared" si="50"/>
        <v>129689.5</v>
      </c>
      <c r="L401" s="57"/>
      <c r="M401" s="56">
        <v>27600</v>
      </c>
      <c r="N401" s="57"/>
      <c r="O401" s="57">
        <v>23489.5</v>
      </c>
      <c r="P401" s="57">
        <v>19200</v>
      </c>
      <c r="Q401" s="57">
        <v>10800</v>
      </c>
      <c r="R401" s="57"/>
      <c r="S401" s="57"/>
      <c r="T401" s="57"/>
      <c r="U401" s="57">
        <v>16200</v>
      </c>
      <c r="V401" s="58">
        <v>16200</v>
      </c>
      <c r="W401" s="60">
        <v>16200</v>
      </c>
    </row>
    <row r="402" spans="1:23" s="1" customFormat="1">
      <c r="A402" s="48">
        <v>7</v>
      </c>
      <c r="B402" s="49" t="s">
        <v>1</v>
      </c>
      <c r="C402" s="63" t="s">
        <v>555</v>
      </c>
      <c r="D402" s="51">
        <f t="shared" si="48"/>
        <v>278890</v>
      </c>
      <c r="E402" s="51">
        <f t="shared" si="49"/>
        <v>200000</v>
      </c>
      <c r="F402" s="52"/>
      <c r="G402" s="53">
        <v>200000</v>
      </c>
      <c r="H402" s="53"/>
      <c r="I402" s="53"/>
      <c r="J402" s="53"/>
      <c r="K402" s="51">
        <f t="shared" si="50"/>
        <v>78890</v>
      </c>
      <c r="L402" s="55"/>
      <c r="M402" s="56">
        <v>20000</v>
      </c>
      <c r="N402" s="57"/>
      <c r="O402" s="58"/>
      <c r="P402" s="59"/>
      <c r="Q402" s="58"/>
      <c r="R402" s="57"/>
      <c r="S402" s="58">
        <v>10000</v>
      </c>
      <c r="T402" s="57">
        <v>32326</v>
      </c>
      <c r="U402" s="58">
        <v>6000</v>
      </c>
      <c r="V402" s="58">
        <v>564</v>
      </c>
      <c r="W402" s="60">
        <v>10000</v>
      </c>
    </row>
    <row r="403" spans="1:23" s="1" customFormat="1">
      <c r="A403" s="48">
        <v>8</v>
      </c>
      <c r="B403" s="49" t="s">
        <v>1</v>
      </c>
      <c r="C403" s="64" t="s">
        <v>556</v>
      </c>
      <c r="D403" s="51">
        <f t="shared" si="48"/>
        <v>98200</v>
      </c>
      <c r="E403" s="51">
        <f t="shared" si="49"/>
        <v>90000</v>
      </c>
      <c r="F403" s="52"/>
      <c r="G403" s="53">
        <v>90000</v>
      </c>
      <c r="H403" s="53"/>
      <c r="I403" s="53"/>
      <c r="J403" s="53"/>
      <c r="K403" s="51">
        <f t="shared" si="50"/>
        <v>8200</v>
      </c>
      <c r="L403" s="55"/>
      <c r="M403" s="56"/>
      <c r="N403" s="57"/>
      <c r="O403" s="58"/>
      <c r="P403" s="59"/>
      <c r="Q403" s="57"/>
      <c r="R403" s="57"/>
      <c r="S403" s="58"/>
      <c r="T403" s="57"/>
      <c r="U403" s="58"/>
      <c r="V403" s="58">
        <v>3200</v>
      </c>
      <c r="W403" s="60">
        <v>5000</v>
      </c>
    </row>
    <row r="404" spans="1:23" s="1" customFormat="1" ht="22.5">
      <c r="A404" s="48">
        <v>9</v>
      </c>
      <c r="B404" s="49" t="s">
        <v>1</v>
      </c>
      <c r="C404" s="64" t="s">
        <v>557</v>
      </c>
      <c r="D404" s="51">
        <f t="shared" si="48"/>
        <v>420000</v>
      </c>
      <c r="E404" s="51">
        <f t="shared" si="49"/>
        <v>420000</v>
      </c>
      <c r="F404" s="52"/>
      <c r="G404" s="53">
        <v>420000</v>
      </c>
      <c r="H404" s="53"/>
      <c r="I404" s="53"/>
      <c r="J404" s="53"/>
      <c r="K404" s="51">
        <f t="shared" si="50"/>
        <v>0</v>
      </c>
      <c r="L404" s="55"/>
      <c r="M404" s="56"/>
      <c r="N404" s="57"/>
      <c r="O404" s="58"/>
      <c r="P404" s="59"/>
      <c r="Q404" s="57"/>
      <c r="R404" s="57"/>
      <c r="S404" s="58"/>
      <c r="T404" s="57"/>
      <c r="U404" s="58"/>
      <c r="V404" s="58"/>
      <c r="W404" s="60"/>
    </row>
    <row r="405" spans="1:23" s="3" customFormat="1" ht="21">
      <c r="A405" s="353" t="s">
        <v>255</v>
      </c>
      <c r="B405" s="362" t="s">
        <v>34</v>
      </c>
      <c r="C405" s="186" t="s">
        <v>30</v>
      </c>
      <c r="D405" s="51">
        <f t="shared" si="48"/>
        <v>450000</v>
      </c>
      <c r="E405" s="51">
        <f t="shared" si="49"/>
        <v>450000</v>
      </c>
      <c r="F405" s="101">
        <f>SUM(F406:F414)</f>
        <v>450000</v>
      </c>
      <c r="G405" s="101">
        <f t="shared" ref="G405:W405" si="52">SUM(G406:G414)</f>
        <v>0</v>
      </c>
      <c r="H405" s="101">
        <f t="shared" si="52"/>
        <v>0</v>
      </c>
      <c r="I405" s="101">
        <f t="shared" si="52"/>
        <v>0</v>
      </c>
      <c r="J405" s="101">
        <f t="shared" si="52"/>
        <v>0</v>
      </c>
      <c r="K405" s="51">
        <f t="shared" si="50"/>
        <v>0</v>
      </c>
      <c r="L405" s="101">
        <f t="shared" si="52"/>
        <v>0</v>
      </c>
      <c r="M405" s="101">
        <f t="shared" si="52"/>
        <v>0</v>
      </c>
      <c r="N405" s="101">
        <f t="shared" si="52"/>
        <v>0</v>
      </c>
      <c r="O405" s="101">
        <f t="shared" si="52"/>
        <v>0</v>
      </c>
      <c r="P405" s="101">
        <f t="shared" si="52"/>
        <v>0</v>
      </c>
      <c r="Q405" s="101">
        <f t="shared" si="52"/>
        <v>0</v>
      </c>
      <c r="R405" s="101">
        <f t="shared" si="52"/>
        <v>0</v>
      </c>
      <c r="S405" s="101">
        <f t="shared" si="52"/>
        <v>0</v>
      </c>
      <c r="T405" s="101">
        <f t="shared" si="52"/>
        <v>0</v>
      </c>
      <c r="U405" s="101">
        <f t="shared" si="52"/>
        <v>0</v>
      </c>
      <c r="V405" s="101">
        <f t="shared" si="52"/>
        <v>0</v>
      </c>
      <c r="W405" s="101">
        <f t="shared" si="52"/>
        <v>0</v>
      </c>
    </row>
    <row r="406" spans="1:23" s="1" customFormat="1">
      <c r="A406" s="525">
        <v>1</v>
      </c>
      <c r="B406" s="354" t="s">
        <v>34</v>
      </c>
      <c r="C406" s="191" t="s">
        <v>131</v>
      </c>
      <c r="D406" s="188">
        <f t="shared" si="48"/>
        <v>40000</v>
      </c>
      <c r="E406" s="188">
        <f t="shared" si="49"/>
        <v>40000</v>
      </c>
      <c r="F406" s="135">
        <v>40000</v>
      </c>
      <c r="G406" s="135"/>
      <c r="H406" s="135"/>
      <c r="I406" s="135"/>
      <c r="J406" s="135"/>
      <c r="K406" s="188">
        <f t="shared" si="50"/>
        <v>0</v>
      </c>
      <c r="L406" s="135"/>
      <c r="M406" s="356"/>
      <c r="N406" s="135"/>
      <c r="O406" s="135"/>
      <c r="P406" s="135"/>
      <c r="Q406" s="135"/>
      <c r="R406" s="135"/>
      <c r="S406" s="135"/>
      <c r="T406" s="135"/>
      <c r="U406" s="135"/>
      <c r="V406" s="117"/>
      <c r="W406" s="117"/>
    </row>
    <row r="407" spans="1:23" s="1" customFormat="1" ht="22.5">
      <c r="A407" s="525">
        <v>2</v>
      </c>
      <c r="B407" s="354" t="s">
        <v>34</v>
      </c>
      <c r="C407" s="191" t="s">
        <v>474</v>
      </c>
      <c r="D407" s="188">
        <f t="shared" si="48"/>
        <v>130000</v>
      </c>
      <c r="E407" s="188">
        <f t="shared" si="49"/>
        <v>130000</v>
      </c>
      <c r="F407" s="135">
        <f>70000+60000</f>
        <v>130000</v>
      </c>
      <c r="G407" s="135"/>
      <c r="H407" s="135"/>
      <c r="I407" s="135"/>
      <c r="J407" s="135"/>
      <c r="K407" s="188">
        <f t="shared" si="50"/>
        <v>0</v>
      </c>
      <c r="L407" s="135"/>
      <c r="M407" s="356"/>
      <c r="N407" s="135"/>
      <c r="O407" s="135"/>
      <c r="P407" s="135"/>
      <c r="Q407" s="135"/>
      <c r="R407" s="135"/>
      <c r="S407" s="135"/>
      <c r="T407" s="135"/>
      <c r="U407" s="135"/>
      <c r="V407" s="117"/>
      <c r="W407" s="117"/>
    </row>
    <row r="408" spans="1:23" s="1" customFormat="1" ht="22.5">
      <c r="A408" s="525">
        <v>3</v>
      </c>
      <c r="B408" s="354" t="s">
        <v>34</v>
      </c>
      <c r="C408" s="191" t="s">
        <v>132</v>
      </c>
      <c r="D408" s="188">
        <f t="shared" si="48"/>
        <v>10000</v>
      </c>
      <c r="E408" s="188">
        <f t="shared" si="49"/>
        <v>10000</v>
      </c>
      <c r="F408" s="135">
        <v>10000</v>
      </c>
      <c r="G408" s="135"/>
      <c r="H408" s="135"/>
      <c r="I408" s="135"/>
      <c r="J408" s="135"/>
      <c r="K408" s="188">
        <f t="shared" si="50"/>
        <v>0</v>
      </c>
      <c r="L408" s="135"/>
      <c r="M408" s="356"/>
      <c r="N408" s="135"/>
      <c r="O408" s="135"/>
      <c r="P408" s="135"/>
      <c r="Q408" s="135"/>
      <c r="R408" s="135"/>
      <c r="S408" s="135"/>
      <c r="T408" s="135"/>
      <c r="U408" s="135"/>
      <c r="V408" s="117"/>
      <c r="W408" s="117"/>
    </row>
    <row r="409" spans="1:23" s="1" customFormat="1" ht="22.5">
      <c r="A409" s="525">
        <v>4</v>
      </c>
      <c r="B409" s="354" t="s">
        <v>34</v>
      </c>
      <c r="C409" s="104" t="s">
        <v>475</v>
      </c>
      <c r="D409" s="188">
        <f t="shared" si="48"/>
        <v>100000</v>
      </c>
      <c r="E409" s="188">
        <f t="shared" si="49"/>
        <v>100000</v>
      </c>
      <c r="F409" s="72">
        <f>50000+50000</f>
        <v>100000</v>
      </c>
      <c r="G409" s="135"/>
      <c r="H409" s="135"/>
      <c r="I409" s="135"/>
      <c r="J409" s="135"/>
      <c r="K409" s="188">
        <f t="shared" si="50"/>
        <v>0</v>
      </c>
      <c r="L409" s="135"/>
      <c r="M409" s="356"/>
      <c r="N409" s="135"/>
      <c r="O409" s="135"/>
      <c r="P409" s="135"/>
      <c r="Q409" s="135"/>
      <c r="R409" s="135"/>
      <c r="S409" s="135"/>
      <c r="T409" s="135"/>
      <c r="U409" s="135"/>
      <c r="V409" s="117"/>
      <c r="W409" s="117"/>
    </row>
    <row r="410" spans="1:23" s="1" customFormat="1" ht="22.5">
      <c r="A410" s="525">
        <v>5</v>
      </c>
      <c r="B410" s="354" t="s">
        <v>34</v>
      </c>
      <c r="C410" s="104" t="s">
        <v>476</v>
      </c>
      <c r="D410" s="188">
        <f t="shared" si="48"/>
        <v>120000</v>
      </c>
      <c r="E410" s="188">
        <f t="shared" si="49"/>
        <v>120000</v>
      </c>
      <c r="F410" s="135">
        <f>60000+60000</f>
        <v>120000</v>
      </c>
      <c r="G410" s="135"/>
      <c r="H410" s="135"/>
      <c r="I410" s="135"/>
      <c r="J410" s="135"/>
      <c r="K410" s="188">
        <f t="shared" si="50"/>
        <v>0</v>
      </c>
      <c r="L410" s="135"/>
      <c r="M410" s="356"/>
      <c r="N410" s="135"/>
      <c r="O410" s="135"/>
      <c r="P410" s="135"/>
      <c r="Q410" s="135"/>
      <c r="R410" s="135"/>
      <c r="S410" s="135"/>
      <c r="T410" s="135"/>
      <c r="U410" s="135"/>
      <c r="V410" s="117"/>
      <c r="W410" s="117"/>
    </row>
    <row r="411" spans="1:23" s="1" customFormat="1" ht="22.5">
      <c r="A411" s="525">
        <v>6</v>
      </c>
      <c r="B411" s="354" t="s">
        <v>34</v>
      </c>
      <c r="C411" s="104" t="s">
        <v>477</v>
      </c>
      <c r="D411" s="188">
        <f t="shared" si="48"/>
        <v>30000</v>
      </c>
      <c r="E411" s="188">
        <f t="shared" si="49"/>
        <v>30000</v>
      </c>
      <c r="F411" s="135">
        <v>30000</v>
      </c>
      <c r="G411" s="135"/>
      <c r="H411" s="135"/>
      <c r="I411" s="135"/>
      <c r="J411" s="135"/>
      <c r="K411" s="188">
        <f t="shared" si="50"/>
        <v>0</v>
      </c>
      <c r="L411" s="135"/>
      <c r="M411" s="356"/>
      <c r="N411" s="135"/>
      <c r="O411" s="135"/>
      <c r="P411" s="135"/>
      <c r="Q411" s="135"/>
      <c r="R411" s="135"/>
      <c r="S411" s="135"/>
      <c r="T411" s="135"/>
      <c r="U411" s="135"/>
      <c r="V411" s="117"/>
      <c r="W411" s="117"/>
    </row>
    <row r="412" spans="1:23" s="1" customFormat="1" ht="22.5">
      <c r="A412" s="525">
        <v>7</v>
      </c>
      <c r="B412" s="354" t="s">
        <v>34</v>
      </c>
      <c r="C412" s="104" t="s">
        <v>478</v>
      </c>
      <c r="D412" s="188">
        <f t="shared" si="48"/>
        <v>20000</v>
      </c>
      <c r="E412" s="188">
        <f t="shared" si="49"/>
        <v>20000</v>
      </c>
      <c r="F412" s="135">
        <v>20000</v>
      </c>
      <c r="G412" s="135"/>
      <c r="H412" s="135"/>
      <c r="I412" s="135"/>
      <c r="J412" s="135"/>
      <c r="K412" s="188">
        <f t="shared" si="50"/>
        <v>0</v>
      </c>
      <c r="L412" s="135"/>
      <c r="M412" s="356"/>
      <c r="N412" s="135"/>
      <c r="O412" s="135"/>
      <c r="P412" s="135"/>
      <c r="Q412" s="135"/>
      <c r="R412" s="135"/>
      <c r="S412" s="135"/>
      <c r="T412" s="135"/>
      <c r="U412" s="135"/>
      <c r="V412" s="117"/>
      <c r="W412" s="117"/>
    </row>
    <row r="413" spans="1:23" s="1" customFormat="1">
      <c r="A413" s="525">
        <v>8</v>
      </c>
      <c r="B413" s="354" t="s">
        <v>34</v>
      </c>
      <c r="C413" s="104" t="s">
        <v>292</v>
      </c>
      <c r="D413" s="188">
        <f t="shared" si="48"/>
        <v>0</v>
      </c>
      <c r="E413" s="188">
        <f t="shared" si="49"/>
        <v>0</v>
      </c>
      <c r="F413" s="135"/>
      <c r="G413" s="135"/>
      <c r="H413" s="135"/>
      <c r="I413" s="135"/>
      <c r="J413" s="135"/>
      <c r="K413" s="188">
        <f t="shared" si="50"/>
        <v>0</v>
      </c>
      <c r="L413" s="135"/>
      <c r="M413" s="356"/>
      <c r="N413" s="135"/>
      <c r="O413" s="135"/>
      <c r="P413" s="135"/>
      <c r="Q413" s="135"/>
      <c r="R413" s="135"/>
      <c r="S413" s="135"/>
      <c r="T413" s="138"/>
      <c r="U413" s="135"/>
      <c r="V413" s="117"/>
      <c r="W413" s="117"/>
    </row>
    <row r="414" spans="1:23" s="1" customFormat="1">
      <c r="A414" s="525">
        <v>9</v>
      </c>
      <c r="B414" s="354" t="s">
        <v>34</v>
      </c>
      <c r="C414" s="104" t="s">
        <v>291</v>
      </c>
      <c r="D414" s="188">
        <f t="shared" si="48"/>
        <v>0</v>
      </c>
      <c r="E414" s="188">
        <f t="shared" si="49"/>
        <v>0</v>
      </c>
      <c r="F414" s="135"/>
      <c r="G414" s="135"/>
      <c r="H414" s="135"/>
      <c r="I414" s="135"/>
      <c r="J414" s="135"/>
      <c r="K414" s="188">
        <f t="shared" si="50"/>
        <v>0</v>
      </c>
      <c r="L414" s="135"/>
      <c r="M414" s="356"/>
      <c r="N414" s="135"/>
      <c r="O414" s="135"/>
      <c r="P414" s="135"/>
      <c r="Q414" s="135"/>
      <c r="R414" s="135"/>
      <c r="S414" s="135"/>
      <c r="T414" s="138"/>
      <c r="U414" s="135"/>
      <c r="V414" s="117"/>
      <c r="W414" s="117"/>
    </row>
    <row r="415" spans="1:23" s="528" customFormat="1">
      <c r="A415" s="526">
        <v>11</v>
      </c>
      <c r="B415" s="354" t="s">
        <v>34</v>
      </c>
      <c r="C415" s="527" t="s">
        <v>312</v>
      </c>
      <c r="D415" s="188">
        <f t="shared" si="48"/>
        <v>4612811</v>
      </c>
      <c r="E415" s="188">
        <f t="shared" si="49"/>
        <v>3246500</v>
      </c>
      <c r="F415" s="105">
        <f>SUM(F416:F447)</f>
        <v>3246500</v>
      </c>
      <c r="G415" s="105">
        <f t="shared" ref="G415:W415" si="53">SUM(G416:G447)</f>
        <v>0</v>
      </c>
      <c r="H415" s="105">
        <f t="shared" si="53"/>
        <v>0</v>
      </c>
      <c r="I415" s="105">
        <f t="shared" si="53"/>
        <v>0</v>
      </c>
      <c r="J415" s="105">
        <f t="shared" si="53"/>
        <v>0</v>
      </c>
      <c r="K415" s="188">
        <f t="shared" si="50"/>
        <v>1366311</v>
      </c>
      <c r="L415" s="105">
        <f t="shared" si="53"/>
        <v>305600</v>
      </c>
      <c r="M415" s="105">
        <f t="shared" si="53"/>
        <v>62463</v>
      </c>
      <c r="N415" s="105">
        <f t="shared" si="53"/>
        <v>20400</v>
      </c>
      <c r="O415" s="105">
        <f t="shared" si="53"/>
        <v>62590</v>
      </c>
      <c r="P415" s="105">
        <f t="shared" si="53"/>
        <v>89936</v>
      </c>
      <c r="Q415" s="105">
        <f t="shared" si="53"/>
        <v>85550</v>
      </c>
      <c r="R415" s="105">
        <f t="shared" si="53"/>
        <v>93540</v>
      </c>
      <c r="S415" s="105">
        <f t="shared" si="53"/>
        <v>106130</v>
      </c>
      <c r="T415" s="105">
        <f t="shared" si="53"/>
        <v>327412</v>
      </c>
      <c r="U415" s="105">
        <f t="shared" si="53"/>
        <v>28000</v>
      </c>
      <c r="V415" s="105">
        <f t="shared" si="53"/>
        <v>96996</v>
      </c>
      <c r="W415" s="105">
        <f t="shared" si="53"/>
        <v>87694</v>
      </c>
    </row>
    <row r="416" spans="1:23" s="1" customFormat="1">
      <c r="A416" s="526" t="s">
        <v>315</v>
      </c>
      <c r="B416" s="354" t="s">
        <v>34</v>
      </c>
      <c r="C416" s="527" t="s">
        <v>317</v>
      </c>
      <c r="D416" s="188">
        <f t="shared" si="48"/>
        <v>0</v>
      </c>
      <c r="E416" s="188">
        <f t="shared" si="49"/>
        <v>0</v>
      </c>
      <c r="F416" s="105"/>
      <c r="G416" s="105"/>
      <c r="H416" s="105"/>
      <c r="I416" s="105"/>
      <c r="J416" s="105"/>
      <c r="K416" s="188">
        <f t="shared" si="50"/>
        <v>0</v>
      </c>
      <c r="L416" s="105"/>
      <c r="M416" s="105"/>
      <c r="N416" s="105"/>
      <c r="O416" s="105"/>
      <c r="P416" s="105"/>
      <c r="Q416" s="105"/>
      <c r="R416" s="105"/>
      <c r="S416" s="105"/>
      <c r="T416" s="105"/>
      <c r="U416" s="105"/>
      <c r="V416" s="105"/>
      <c r="W416" s="105"/>
    </row>
    <row r="417" spans="1:23" s="1" customFormat="1">
      <c r="A417" s="526"/>
      <c r="B417" s="354" t="s">
        <v>34</v>
      </c>
      <c r="C417" s="527" t="s">
        <v>318</v>
      </c>
      <c r="D417" s="188">
        <f t="shared" si="48"/>
        <v>0</v>
      </c>
      <c r="E417" s="188">
        <f t="shared" si="49"/>
        <v>0</v>
      </c>
      <c r="F417" s="105"/>
      <c r="G417" s="105"/>
      <c r="H417" s="105"/>
      <c r="I417" s="105"/>
      <c r="J417" s="105"/>
      <c r="K417" s="188">
        <f t="shared" si="50"/>
        <v>0</v>
      </c>
      <c r="L417" s="105"/>
      <c r="M417" s="105"/>
      <c r="N417" s="105"/>
      <c r="O417" s="105"/>
      <c r="P417" s="105"/>
      <c r="Q417" s="105"/>
      <c r="R417" s="105"/>
      <c r="S417" s="105"/>
      <c r="T417" s="105"/>
      <c r="U417" s="105"/>
      <c r="V417" s="105"/>
      <c r="W417" s="105"/>
    </row>
    <row r="418" spans="1:23" s="1" customFormat="1">
      <c r="A418" s="526" t="s">
        <v>316</v>
      </c>
      <c r="B418" s="354" t="s">
        <v>34</v>
      </c>
      <c r="C418" s="527" t="s">
        <v>319</v>
      </c>
      <c r="D418" s="188">
        <f t="shared" si="48"/>
        <v>0</v>
      </c>
      <c r="E418" s="188">
        <f t="shared" si="49"/>
        <v>0</v>
      </c>
      <c r="F418" s="105"/>
      <c r="G418" s="105"/>
      <c r="H418" s="105"/>
      <c r="I418" s="105"/>
      <c r="J418" s="105"/>
      <c r="K418" s="188">
        <f t="shared" si="50"/>
        <v>0</v>
      </c>
      <c r="L418" s="105"/>
      <c r="M418" s="105"/>
      <c r="N418" s="105"/>
      <c r="O418" s="105"/>
      <c r="P418" s="105"/>
      <c r="Q418" s="105"/>
      <c r="R418" s="105"/>
      <c r="S418" s="105"/>
      <c r="T418" s="105"/>
      <c r="U418" s="105"/>
      <c r="V418" s="105"/>
      <c r="W418" s="105"/>
    </row>
    <row r="419" spans="1:23" s="1" customFormat="1" ht="22.5">
      <c r="A419" s="363">
        <v>1</v>
      </c>
      <c r="B419" s="354" t="s">
        <v>34</v>
      </c>
      <c r="C419" s="364" t="s">
        <v>134</v>
      </c>
      <c r="D419" s="188">
        <f t="shared" si="48"/>
        <v>0</v>
      </c>
      <c r="E419" s="188">
        <f t="shared" si="49"/>
        <v>0</v>
      </c>
      <c r="F419" s="320"/>
      <c r="G419" s="135"/>
      <c r="H419" s="135"/>
      <c r="I419" s="135"/>
      <c r="J419" s="135"/>
      <c r="K419" s="188">
        <f t="shared" si="50"/>
        <v>0</v>
      </c>
      <c r="L419" s="111"/>
      <c r="M419" s="356"/>
      <c r="N419" s="117"/>
      <c r="O419" s="117"/>
      <c r="P419" s="365"/>
      <c r="Q419" s="117"/>
      <c r="R419" s="115"/>
      <c r="S419" s="117"/>
      <c r="T419" s="356"/>
      <c r="U419" s="109"/>
      <c r="V419" s="117"/>
      <c r="W419" s="109"/>
    </row>
    <row r="420" spans="1:23" s="1" customFormat="1" ht="22.5">
      <c r="A420" s="363">
        <v>2</v>
      </c>
      <c r="B420" s="354" t="s">
        <v>34</v>
      </c>
      <c r="C420" s="366" t="s">
        <v>296</v>
      </c>
      <c r="D420" s="188">
        <f t="shared" si="48"/>
        <v>0</v>
      </c>
      <c r="E420" s="188">
        <f t="shared" si="49"/>
        <v>0</v>
      </c>
      <c r="F420" s="320"/>
      <c r="G420" s="135"/>
      <c r="H420" s="135"/>
      <c r="I420" s="135"/>
      <c r="J420" s="135"/>
      <c r="K420" s="188">
        <f t="shared" si="50"/>
        <v>0</v>
      </c>
      <c r="L420" s="111"/>
      <c r="M420" s="356"/>
      <c r="N420" s="135"/>
      <c r="O420" s="109"/>
      <c r="P420" s="365"/>
      <c r="Q420" s="117"/>
      <c r="R420" s="115"/>
      <c r="S420" s="117"/>
      <c r="T420" s="356"/>
      <c r="U420" s="109"/>
      <c r="V420" s="117"/>
      <c r="W420" s="111"/>
    </row>
    <row r="421" spans="1:23" s="1" customFormat="1" ht="22.5">
      <c r="A421" s="363">
        <v>3</v>
      </c>
      <c r="B421" s="354" t="s">
        <v>34</v>
      </c>
      <c r="C421" s="364" t="s">
        <v>135</v>
      </c>
      <c r="D421" s="188">
        <f t="shared" si="48"/>
        <v>0</v>
      </c>
      <c r="E421" s="188">
        <f t="shared" si="49"/>
        <v>0</v>
      </c>
      <c r="F421" s="320"/>
      <c r="G421" s="135"/>
      <c r="H421" s="135"/>
      <c r="I421" s="135"/>
      <c r="J421" s="135"/>
      <c r="K421" s="188">
        <f t="shared" si="50"/>
        <v>0</v>
      </c>
      <c r="L421" s="111"/>
      <c r="M421" s="356"/>
      <c r="N421" s="135"/>
      <c r="O421" s="109"/>
      <c r="P421" s="365"/>
      <c r="Q421" s="117"/>
      <c r="R421" s="115"/>
      <c r="S421" s="117"/>
      <c r="T421" s="356"/>
      <c r="U421" s="109"/>
      <c r="V421" s="117"/>
      <c r="W421" s="111"/>
    </row>
    <row r="422" spans="1:23" s="1" customFormat="1">
      <c r="A422" s="363">
        <v>4</v>
      </c>
      <c r="B422" s="354" t="s">
        <v>34</v>
      </c>
      <c r="C422" s="364" t="s">
        <v>136</v>
      </c>
      <c r="D422" s="188">
        <f t="shared" si="48"/>
        <v>0</v>
      </c>
      <c r="E422" s="188">
        <f t="shared" si="49"/>
        <v>0</v>
      </c>
      <c r="F422" s="367"/>
      <c r="G422" s="135"/>
      <c r="H422" s="135"/>
      <c r="I422" s="135"/>
      <c r="J422" s="135"/>
      <c r="K422" s="188">
        <f t="shared" si="50"/>
        <v>0</v>
      </c>
      <c r="L422" s="111"/>
      <c r="M422" s="356"/>
      <c r="N422" s="135"/>
      <c r="O422" s="109"/>
      <c r="P422" s="117"/>
      <c r="Q422" s="117"/>
      <c r="R422" s="115"/>
      <c r="S422" s="117"/>
      <c r="T422" s="356"/>
      <c r="U422" s="109"/>
      <c r="V422" s="117"/>
      <c r="W422" s="111"/>
    </row>
    <row r="423" spans="1:23" s="1" customFormat="1" ht="22.5">
      <c r="A423" s="363">
        <v>5</v>
      </c>
      <c r="B423" s="354" t="s">
        <v>34</v>
      </c>
      <c r="C423" s="364" t="s">
        <v>137</v>
      </c>
      <c r="D423" s="188">
        <f t="shared" si="48"/>
        <v>0</v>
      </c>
      <c r="E423" s="188">
        <f t="shared" si="49"/>
        <v>0</v>
      </c>
      <c r="F423" s="320"/>
      <c r="G423" s="135"/>
      <c r="H423" s="135"/>
      <c r="I423" s="135"/>
      <c r="J423" s="135"/>
      <c r="K423" s="188">
        <f t="shared" si="50"/>
        <v>0</v>
      </c>
      <c r="L423" s="111"/>
      <c r="M423" s="356"/>
      <c r="N423" s="135"/>
      <c r="O423" s="109"/>
      <c r="P423" s="117"/>
      <c r="Q423" s="117"/>
      <c r="R423" s="115"/>
      <c r="S423" s="117"/>
      <c r="T423" s="356"/>
      <c r="U423" s="109"/>
      <c r="V423" s="117"/>
      <c r="W423" s="111"/>
    </row>
    <row r="424" spans="1:23" s="1" customFormat="1" ht="22.5">
      <c r="A424" s="363">
        <v>6</v>
      </c>
      <c r="B424" s="354" t="s">
        <v>34</v>
      </c>
      <c r="C424" s="364" t="s">
        <v>278</v>
      </c>
      <c r="D424" s="188">
        <f t="shared" si="48"/>
        <v>0</v>
      </c>
      <c r="E424" s="188">
        <f t="shared" si="49"/>
        <v>0</v>
      </c>
      <c r="F424" s="320"/>
      <c r="G424" s="135"/>
      <c r="H424" s="135"/>
      <c r="I424" s="135"/>
      <c r="J424" s="135"/>
      <c r="K424" s="188">
        <f t="shared" si="50"/>
        <v>0</v>
      </c>
      <c r="L424" s="111"/>
      <c r="M424" s="356"/>
      <c r="N424" s="135"/>
      <c r="O424" s="117"/>
      <c r="P424" s="365"/>
      <c r="Q424" s="117"/>
      <c r="R424" s="115"/>
      <c r="S424" s="117"/>
      <c r="T424" s="356"/>
      <c r="U424" s="109"/>
      <c r="V424" s="117"/>
      <c r="W424" s="111"/>
    </row>
    <row r="425" spans="1:23" s="1" customFormat="1">
      <c r="A425" s="363" t="s">
        <v>320</v>
      </c>
      <c r="B425" s="354" t="s">
        <v>34</v>
      </c>
      <c r="C425" s="364" t="s">
        <v>314</v>
      </c>
      <c r="D425" s="188">
        <f t="shared" si="48"/>
        <v>0</v>
      </c>
      <c r="E425" s="188">
        <f t="shared" si="49"/>
        <v>0</v>
      </c>
      <c r="F425" s="320"/>
      <c r="G425" s="135"/>
      <c r="H425" s="135"/>
      <c r="I425" s="135"/>
      <c r="J425" s="135"/>
      <c r="K425" s="188">
        <f t="shared" si="50"/>
        <v>0</v>
      </c>
      <c r="L425" s="111"/>
      <c r="M425" s="356"/>
      <c r="N425" s="135"/>
      <c r="O425" s="117"/>
      <c r="P425" s="365"/>
      <c r="Q425" s="117"/>
      <c r="R425" s="115"/>
      <c r="S425" s="117"/>
      <c r="T425" s="356"/>
      <c r="U425" s="109"/>
      <c r="V425" s="117"/>
      <c r="W425" s="111"/>
    </row>
    <row r="426" spans="1:23" s="72" customFormat="1" ht="45">
      <c r="A426" s="529">
        <v>1</v>
      </c>
      <c r="B426" s="354" t="s">
        <v>34</v>
      </c>
      <c r="C426" s="530" t="s">
        <v>365</v>
      </c>
      <c r="D426" s="188">
        <f t="shared" si="48"/>
        <v>690614</v>
      </c>
      <c r="E426" s="188">
        <f t="shared" si="49"/>
        <v>550000</v>
      </c>
      <c r="F426" s="368">
        <v>550000</v>
      </c>
      <c r="G426" s="105"/>
      <c r="H426" s="105"/>
      <c r="I426" s="105"/>
      <c r="J426" s="105"/>
      <c r="K426" s="188">
        <f t="shared" si="50"/>
        <v>140614</v>
      </c>
      <c r="L426" s="111">
        <v>31320</v>
      </c>
      <c r="M426" s="117">
        <v>3500</v>
      </c>
      <c r="N426" s="105"/>
      <c r="O426" s="369">
        <v>4180</v>
      </c>
      <c r="P426" s="105">
        <v>22200</v>
      </c>
      <c r="Q426" s="105"/>
      <c r="R426" s="105">
        <v>35500</v>
      </c>
      <c r="S426" s="199">
        <v>7790</v>
      </c>
      <c r="T426" s="531">
        <v>14900</v>
      </c>
      <c r="U426" s="370">
        <v>6670</v>
      </c>
      <c r="V426" s="105">
        <v>2160</v>
      </c>
      <c r="W426" s="105">
        <v>12394</v>
      </c>
    </row>
    <row r="427" spans="1:23" s="1" customFormat="1" ht="22.5">
      <c r="A427" s="371">
        <v>2</v>
      </c>
      <c r="B427" s="354" t="s">
        <v>34</v>
      </c>
      <c r="C427" s="372" t="s">
        <v>135</v>
      </c>
      <c r="D427" s="188">
        <f t="shared" si="48"/>
        <v>231600</v>
      </c>
      <c r="E427" s="188">
        <f t="shared" si="49"/>
        <v>150000</v>
      </c>
      <c r="F427" s="373">
        <v>150000</v>
      </c>
      <c r="G427" s="105"/>
      <c r="H427" s="105"/>
      <c r="I427" s="105"/>
      <c r="J427" s="105"/>
      <c r="K427" s="188">
        <f t="shared" si="50"/>
        <v>81600</v>
      </c>
      <c r="L427" s="111">
        <f>6000+48000+3600</f>
        <v>57600</v>
      </c>
      <c r="M427" s="105"/>
      <c r="N427" s="105"/>
      <c r="O427" s="105"/>
      <c r="P427" s="105">
        <v>24000</v>
      </c>
      <c r="Q427" s="105"/>
      <c r="R427" s="105"/>
      <c r="S427" s="105"/>
      <c r="T427" s="105">
        <v>0</v>
      </c>
      <c r="U427" s="105"/>
      <c r="V427" s="105"/>
      <c r="W427" s="105">
        <v>0</v>
      </c>
    </row>
    <row r="428" spans="1:23" s="1" customFormat="1">
      <c r="A428" s="371">
        <v>3</v>
      </c>
      <c r="B428" s="354" t="s">
        <v>34</v>
      </c>
      <c r="C428" s="364" t="s">
        <v>366</v>
      </c>
      <c r="D428" s="188">
        <f t="shared" si="48"/>
        <v>1243036</v>
      </c>
      <c r="E428" s="188">
        <f t="shared" si="49"/>
        <v>1000000</v>
      </c>
      <c r="F428" s="373">
        <v>1000000</v>
      </c>
      <c r="G428" s="105"/>
      <c r="H428" s="105"/>
      <c r="I428" s="105"/>
      <c r="J428" s="105"/>
      <c r="K428" s="188">
        <f t="shared" si="50"/>
        <v>243036</v>
      </c>
      <c r="L428" s="105"/>
      <c r="M428" s="117">
        <v>30000</v>
      </c>
      <c r="N428" s="105"/>
      <c r="O428" s="105"/>
      <c r="P428" s="105"/>
      <c r="Q428" s="72">
        <v>64320</v>
      </c>
      <c r="R428" s="105"/>
      <c r="S428" s="320">
        <f>13440+69680</f>
        <v>83120</v>
      </c>
      <c r="T428" s="532"/>
      <c r="U428" s="370">
        <v>2880</v>
      </c>
      <c r="V428" s="105">
        <v>31356</v>
      </c>
      <c r="W428" s="105">
        <f>26800+4560</f>
        <v>31360</v>
      </c>
    </row>
    <row r="429" spans="1:23" s="1" customFormat="1">
      <c r="A429" s="371">
        <v>4</v>
      </c>
      <c r="B429" s="354" t="s">
        <v>34</v>
      </c>
      <c r="C429" s="364" t="s">
        <v>367</v>
      </c>
      <c r="D429" s="188">
        <f t="shared" si="48"/>
        <v>8000</v>
      </c>
      <c r="E429" s="188">
        <f t="shared" si="49"/>
        <v>8000</v>
      </c>
      <c r="F429" s="373">
        <v>8000</v>
      </c>
      <c r="G429" s="105"/>
      <c r="H429" s="105"/>
      <c r="I429" s="105"/>
      <c r="J429" s="105"/>
      <c r="K429" s="188">
        <f t="shared" si="50"/>
        <v>0</v>
      </c>
      <c r="L429" s="105"/>
      <c r="M429" s="105"/>
      <c r="N429" s="105"/>
      <c r="O429" s="105"/>
      <c r="P429" s="105"/>
      <c r="Q429" s="105"/>
      <c r="R429" s="105"/>
      <c r="S429" s="105"/>
      <c r="T429" s="105"/>
      <c r="U429" s="105"/>
      <c r="V429" s="105"/>
      <c r="W429" s="105"/>
    </row>
    <row r="430" spans="1:23" s="1" customFormat="1">
      <c r="A430" s="371">
        <v>5</v>
      </c>
      <c r="B430" s="354" t="s">
        <v>34</v>
      </c>
      <c r="C430" s="374" t="s">
        <v>368</v>
      </c>
      <c r="D430" s="188">
        <f t="shared" si="48"/>
        <v>20750</v>
      </c>
      <c r="E430" s="188">
        <f t="shared" si="49"/>
        <v>20000</v>
      </c>
      <c r="F430" s="373">
        <v>20000</v>
      </c>
      <c r="G430" s="135"/>
      <c r="H430" s="135"/>
      <c r="I430" s="135"/>
      <c r="J430" s="135"/>
      <c r="K430" s="188">
        <f t="shared" si="50"/>
        <v>750</v>
      </c>
      <c r="L430" s="111"/>
      <c r="M430" s="356"/>
      <c r="N430" s="117"/>
      <c r="O430" s="117"/>
      <c r="P430" s="365"/>
      <c r="Q430" s="117"/>
      <c r="R430" s="115"/>
      <c r="S430" s="117"/>
      <c r="T430" s="356"/>
      <c r="U430" s="109"/>
      <c r="V430" s="117"/>
      <c r="W430" s="135">
        <v>750</v>
      </c>
    </row>
    <row r="431" spans="1:23" s="1" customFormat="1">
      <c r="A431" s="371">
        <v>6</v>
      </c>
      <c r="B431" s="354" t="s">
        <v>34</v>
      </c>
      <c r="C431" s="374" t="s">
        <v>369</v>
      </c>
      <c r="D431" s="188">
        <f t="shared" si="48"/>
        <v>35000</v>
      </c>
      <c r="E431" s="188">
        <f t="shared" si="49"/>
        <v>35000</v>
      </c>
      <c r="F431" s="373">
        <v>35000</v>
      </c>
      <c r="G431" s="135"/>
      <c r="H431" s="135"/>
      <c r="I431" s="135"/>
      <c r="J431" s="135"/>
      <c r="K431" s="188">
        <f t="shared" si="50"/>
        <v>0</v>
      </c>
      <c r="L431" s="111"/>
      <c r="M431" s="356"/>
      <c r="N431" s="135"/>
      <c r="O431" s="109"/>
      <c r="P431" s="365"/>
      <c r="Q431" s="117"/>
      <c r="R431" s="115"/>
      <c r="S431" s="117"/>
      <c r="T431" s="356"/>
      <c r="U431" s="109"/>
      <c r="V431" s="117"/>
      <c r="W431" s="135"/>
    </row>
    <row r="432" spans="1:23" s="1" customFormat="1">
      <c r="A432" s="371">
        <v>7</v>
      </c>
      <c r="B432" s="354" t="s">
        <v>34</v>
      </c>
      <c r="C432" s="364" t="s">
        <v>370</v>
      </c>
      <c r="D432" s="188">
        <f t="shared" si="48"/>
        <v>42000</v>
      </c>
      <c r="E432" s="188">
        <f t="shared" si="49"/>
        <v>42000</v>
      </c>
      <c r="F432" s="375">
        <v>42000</v>
      </c>
      <c r="G432" s="135"/>
      <c r="H432" s="135"/>
      <c r="I432" s="135"/>
      <c r="J432" s="135"/>
      <c r="K432" s="188">
        <f t="shared" si="50"/>
        <v>0</v>
      </c>
      <c r="L432" s="111"/>
      <c r="M432" s="356"/>
      <c r="N432" s="135"/>
      <c r="O432" s="109"/>
      <c r="P432" s="365"/>
      <c r="Q432" s="117"/>
      <c r="R432" s="115"/>
      <c r="S432" s="117"/>
      <c r="T432" s="356"/>
      <c r="U432" s="109"/>
      <c r="V432" s="117"/>
      <c r="W432" s="135"/>
    </row>
    <row r="433" spans="1:23" s="1" customFormat="1">
      <c r="A433" s="371">
        <v>8</v>
      </c>
      <c r="B433" s="354" t="s">
        <v>34</v>
      </c>
      <c r="C433" s="364" t="s">
        <v>371</v>
      </c>
      <c r="D433" s="188">
        <f t="shared" si="48"/>
        <v>41350</v>
      </c>
      <c r="E433" s="188">
        <f t="shared" si="49"/>
        <v>10500</v>
      </c>
      <c r="F433" s="375">
        <v>10500</v>
      </c>
      <c r="G433" s="135"/>
      <c r="H433" s="135"/>
      <c r="I433" s="135"/>
      <c r="J433" s="135"/>
      <c r="K433" s="188">
        <f t="shared" si="50"/>
        <v>30850</v>
      </c>
      <c r="L433" s="111"/>
      <c r="M433" s="117">
        <v>15000</v>
      </c>
      <c r="N433" s="135">
        <v>14000</v>
      </c>
      <c r="O433" s="109"/>
      <c r="P433" s="117"/>
      <c r="Q433" s="117"/>
      <c r="R433" s="115"/>
      <c r="S433" s="117"/>
      <c r="T433" s="356"/>
      <c r="U433" s="109"/>
      <c r="V433" s="117"/>
      <c r="W433" s="135">
        <v>1850</v>
      </c>
    </row>
    <row r="434" spans="1:23" s="1" customFormat="1" ht="22.5">
      <c r="A434" s="371">
        <v>9</v>
      </c>
      <c r="B434" s="354" t="s">
        <v>34</v>
      </c>
      <c r="C434" s="364" t="s">
        <v>372</v>
      </c>
      <c r="D434" s="188">
        <f t="shared" si="48"/>
        <v>585360</v>
      </c>
      <c r="E434" s="188">
        <f t="shared" si="49"/>
        <v>300000</v>
      </c>
      <c r="F434" s="375">
        <v>300000</v>
      </c>
      <c r="G434" s="135"/>
      <c r="H434" s="135"/>
      <c r="I434" s="135"/>
      <c r="J434" s="135"/>
      <c r="K434" s="188">
        <f t="shared" si="50"/>
        <v>285360</v>
      </c>
      <c r="L434" s="376">
        <v>148080</v>
      </c>
      <c r="M434" s="356"/>
      <c r="N434" s="135"/>
      <c r="O434" s="109"/>
      <c r="P434" s="117"/>
      <c r="Q434" s="117"/>
      <c r="R434" s="115"/>
      <c r="S434" s="117"/>
      <c r="T434" s="356">
        <v>135220</v>
      </c>
      <c r="U434" s="109"/>
      <c r="V434" s="117"/>
      <c r="W434" s="135">
        <v>2060</v>
      </c>
    </row>
    <row r="435" spans="1:23" s="1" customFormat="1" ht="45">
      <c r="A435" s="371">
        <v>10</v>
      </c>
      <c r="B435" s="354" t="s">
        <v>34</v>
      </c>
      <c r="C435" s="364" t="s">
        <v>373</v>
      </c>
      <c r="D435" s="188">
        <f t="shared" si="48"/>
        <v>186466</v>
      </c>
      <c r="E435" s="188">
        <f t="shared" si="49"/>
        <v>150000</v>
      </c>
      <c r="F435" s="373">
        <v>150000</v>
      </c>
      <c r="G435" s="135"/>
      <c r="H435" s="135"/>
      <c r="I435" s="135"/>
      <c r="J435" s="135"/>
      <c r="K435" s="188">
        <f t="shared" si="50"/>
        <v>36466</v>
      </c>
      <c r="L435" s="111"/>
      <c r="M435" s="356"/>
      <c r="N435" s="135"/>
      <c r="O435" s="117"/>
      <c r="P435" s="365">
        <v>4176</v>
      </c>
      <c r="Q435" s="117">
        <v>7790</v>
      </c>
      <c r="R435" s="115"/>
      <c r="S435" s="377">
        <v>3520</v>
      </c>
      <c r="T435" s="356">
        <v>10000</v>
      </c>
      <c r="U435" s="109"/>
      <c r="V435" s="117"/>
      <c r="W435" s="135">
        <v>10980</v>
      </c>
    </row>
    <row r="436" spans="1:23" s="1" customFormat="1">
      <c r="A436" s="371">
        <v>11</v>
      </c>
      <c r="B436" s="354" t="s">
        <v>34</v>
      </c>
      <c r="C436" s="364" t="s">
        <v>374</v>
      </c>
      <c r="D436" s="188">
        <f t="shared" si="48"/>
        <v>100410</v>
      </c>
      <c r="E436" s="188">
        <f t="shared" si="49"/>
        <v>30000</v>
      </c>
      <c r="F436" s="378">
        <v>30000</v>
      </c>
      <c r="G436" s="135"/>
      <c r="H436" s="135"/>
      <c r="I436" s="135"/>
      <c r="J436" s="135"/>
      <c r="K436" s="188">
        <f t="shared" si="50"/>
        <v>70410</v>
      </c>
      <c r="L436" s="111"/>
      <c r="M436" s="117">
        <v>2500</v>
      </c>
      <c r="N436" s="135">
        <v>2400</v>
      </c>
      <c r="O436" s="117">
        <v>5410</v>
      </c>
      <c r="P436" s="365">
        <v>1600</v>
      </c>
      <c r="Q436" s="117"/>
      <c r="R436" s="115">
        <v>20000</v>
      </c>
      <c r="S436" s="72"/>
      <c r="T436" s="531">
        <v>35000</v>
      </c>
      <c r="U436" s="109"/>
      <c r="V436" s="111">
        <v>3000</v>
      </c>
      <c r="W436" s="135">
        <v>500</v>
      </c>
    </row>
    <row r="437" spans="1:23" s="1" customFormat="1">
      <c r="A437" s="371">
        <v>12</v>
      </c>
      <c r="B437" s="354" t="s">
        <v>34</v>
      </c>
      <c r="C437" s="374" t="s">
        <v>375</v>
      </c>
      <c r="D437" s="188">
        <f t="shared" si="48"/>
        <v>20000</v>
      </c>
      <c r="E437" s="188">
        <f t="shared" si="49"/>
        <v>20000</v>
      </c>
      <c r="F437" s="378">
        <v>20000</v>
      </c>
      <c r="G437" s="135"/>
      <c r="H437" s="135"/>
      <c r="I437" s="135"/>
      <c r="J437" s="135"/>
      <c r="K437" s="188">
        <f t="shared" si="50"/>
        <v>0</v>
      </c>
      <c r="L437" s="111"/>
      <c r="M437" s="356"/>
      <c r="N437" s="135"/>
      <c r="O437" s="117"/>
      <c r="P437" s="365"/>
      <c r="Q437" s="117"/>
      <c r="R437" s="115"/>
      <c r="S437" s="117"/>
      <c r="T437" s="356"/>
      <c r="U437" s="109"/>
      <c r="V437" s="117"/>
      <c r="W437" s="135"/>
    </row>
    <row r="438" spans="1:23" s="1" customFormat="1">
      <c r="A438" s="371">
        <v>13</v>
      </c>
      <c r="B438" s="354" t="s">
        <v>34</v>
      </c>
      <c r="C438" s="374" t="s">
        <v>376</v>
      </c>
      <c r="D438" s="188">
        <f t="shared" si="48"/>
        <v>131863</v>
      </c>
      <c r="E438" s="188">
        <f t="shared" si="49"/>
        <v>70000</v>
      </c>
      <c r="F438" s="378">
        <v>70000</v>
      </c>
      <c r="G438" s="135"/>
      <c r="H438" s="135"/>
      <c r="I438" s="135"/>
      <c r="J438" s="135"/>
      <c r="K438" s="188">
        <f t="shared" si="50"/>
        <v>61863</v>
      </c>
      <c r="L438" s="111"/>
      <c r="M438" s="345">
        <v>11463</v>
      </c>
      <c r="N438" s="135"/>
      <c r="O438" s="117"/>
      <c r="P438" s="365"/>
      <c r="Q438" s="117"/>
      <c r="R438" s="117"/>
      <c r="S438" s="117"/>
      <c r="T438" s="356">
        <v>50400</v>
      </c>
      <c r="U438" s="109"/>
      <c r="V438" s="117"/>
      <c r="W438" s="135"/>
    </row>
    <row r="439" spans="1:23" s="1" customFormat="1">
      <c r="A439" s="371">
        <v>14</v>
      </c>
      <c r="B439" s="354" t="s">
        <v>34</v>
      </c>
      <c r="C439" s="379" t="s">
        <v>377</v>
      </c>
      <c r="D439" s="188">
        <f t="shared" si="48"/>
        <v>161000</v>
      </c>
      <c r="E439" s="188">
        <f t="shared" si="49"/>
        <v>161000</v>
      </c>
      <c r="F439" s="378">
        <v>161000</v>
      </c>
      <c r="G439" s="135"/>
      <c r="H439" s="135"/>
      <c r="I439" s="135"/>
      <c r="J439" s="135"/>
      <c r="K439" s="188">
        <f t="shared" si="50"/>
        <v>0</v>
      </c>
      <c r="L439" s="376"/>
      <c r="M439" s="138"/>
      <c r="N439" s="135"/>
      <c r="O439" s="345"/>
      <c r="P439" s="365"/>
      <c r="Q439" s="345"/>
      <c r="R439" s="345"/>
      <c r="S439" s="345"/>
      <c r="T439" s="138"/>
      <c r="U439" s="138"/>
      <c r="V439" s="345"/>
      <c r="W439" s="135"/>
    </row>
    <row r="440" spans="1:23" s="72" customFormat="1" ht="22.5">
      <c r="A440" s="371">
        <v>15</v>
      </c>
      <c r="B440" s="354" t="s">
        <v>34</v>
      </c>
      <c r="C440" s="364" t="s">
        <v>378</v>
      </c>
      <c r="D440" s="188">
        <f t="shared" si="48"/>
        <v>54000</v>
      </c>
      <c r="E440" s="188">
        <f t="shared" si="49"/>
        <v>50000</v>
      </c>
      <c r="F440" s="105">
        <v>50000</v>
      </c>
      <c r="G440" s="105"/>
      <c r="H440" s="105"/>
      <c r="I440" s="105"/>
      <c r="J440" s="105"/>
      <c r="K440" s="188">
        <f t="shared" si="50"/>
        <v>4000</v>
      </c>
      <c r="L440" s="105"/>
      <c r="M440" s="105"/>
      <c r="N440" s="105"/>
      <c r="O440" s="105">
        <v>4000</v>
      </c>
      <c r="P440" s="105"/>
      <c r="Q440" s="105"/>
      <c r="R440" s="105"/>
      <c r="S440" s="105"/>
      <c r="T440" s="105"/>
      <c r="U440" s="105"/>
      <c r="V440" s="105"/>
      <c r="W440" s="105"/>
    </row>
    <row r="441" spans="1:23" s="1" customFormat="1" ht="22.5">
      <c r="A441" s="371">
        <v>16</v>
      </c>
      <c r="B441" s="354" t="s">
        <v>34</v>
      </c>
      <c r="C441" s="364" t="s">
        <v>379</v>
      </c>
      <c r="D441" s="188">
        <f t="shared" si="48"/>
        <v>150000</v>
      </c>
      <c r="E441" s="188">
        <f t="shared" si="49"/>
        <v>150000</v>
      </c>
      <c r="F441" s="105">
        <v>150000</v>
      </c>
      <c r="G441" s="135"/>
      <c r="H441" s="135"/>
      <c r="I441" s="135"/>
      <c r="J441" s="135"/>
      <c r="K441" s="188">
        <f t="shared" si="50"/>
        <v>0</v>
      </c>
      <c r="L441" s="111"/>
      <c r="M441" s="356"/>
      <c r="N441" s="135"/>
      <c r="O441" s="117"/>
      <c r="P441" s="365"/>
      <c r="Q441" s="117"/>
      <c r="R441" s="115"/>
      <c r="S441" s="117"/>
      <c r="T441" s="356"/>
      <c r="U441" s="109"/>
      <c r="V441" s="117"/>
      <c r="W441" s="135"/>
    </row>
    <row r="442" spans="1:23" s="1" customFormat="1" ht="22.5">
      <c r="A442" s="371">
        <v>17</v>
      </c>
      <c r="B442" s="354" t="s">
        <v>34</v>
      </c>
      <c r="C442" s="380" t="s">
        <v>380</v>
      </c>
      <c r="D442" s="188">
        <f t="shared" si="48"/>
        <v>150000</v>
      </c>
      <c r="E442" s="188">
        <f t="shared" si="49"/>
        <v>150000</v>
      </c>
      <c r="F442" s="381">
        <v>150000</v>
      </c>
      <c r="G442" s="135"/>
      <c r="H442" s="135"/>
      <c r="I442" s="135"/>
      <c r="J442" s="135"/>
      <c r="K442" s="188">
        <f t="shared" si="50"/>
        <v>0</v>
      </c>
      <c r="L442" s="111"/>
      <c r="M442" s="356"/>
      <c r="N442" s="135"/>
      <c r="O442" s="117"/>
      <c r="P442" s="365"/>
      <c r="Q442" s="117"/>
      <c r="R442" s="115"/>
      <c r="S442" s="117"/>
      <c r="T442" s="356"/>
      <c r="U442" s="109"/>
      <c r="V442" s="117"/>
      <c r="W442" s="135"/>
    </row>
    <row r="443" spans="1:23" s="1" customFormat="1">
      <c r="A443" s="382">
        <v>18</v>
      </c>
      <c r="B443" s="354" t="s">
        <v>34</v>
      </c>
      <c r="C443" s="383" t="s">
        <v>381</v>
      </c>
      <c r="D443" s="188">
        <f t="shared" si="48"/>
        <v>144312</v>
      </c>
      <c r="E443" s="188">
        <f t="shared" si="49"/>
        <v>50000</v>
      </c>
      <c r="F443" s="384">
        <v>50000</v>
      </c>
      <c r="G443" s="135"/>
      <c r="H443" s="135"/>
      <c r="I443" s="135"/>
      <c r="J443" s="256"/>
      <c r="K443" s="188">
        <f t="shared" si="50"/>
        <v>94312</v>
      </c>
      <c r="L443" s="111">
        <v>4000</v>
      </c>
      <c r="M443" s="356"/>
      <c r="N443" s="135">
        <v>4000</v>
      </c>
      <c r="O443" s="117">
        <f>12800+2400</f>
        <v>15200</v>
      </c>
      <c r="P443" s="365">
        <v>2560</v>
      </c>
      <c r="Q443" s="117">
        <v>13440</v>
      </c>
      <c r="R443" s="385">
        <v>3040</v>
      </c>
      <c r="S443" s="117"/>
      <c r="T443" s="356">
        <v>46392</v>
      </c>
      <c r="U443" s="109"/>
      <c r="V443" s="111">
        <v>2880</v>
      </c>
      <c r="W443" s="386">
        <f>1440+1360</f>
        <v>2800</v>
      </c>
    </row>
    <row r="444" spans="1:23" s="1" customFormat="1">
      <c r="A444" s="122">
        <v>19</v>
      </c>
      <c r="B444" s="354" t="s">
        <v>34</v>
      </c>
      <c r="C444" s="105" t="s">
        <v>382</v>
      </c>
      <c r="D444" s="188">
        <f t="shared" si="48"/>
        <v>120650</v>
      </c>
      <c r="E444" s="188">
        <f t="shared" si="49"/>
        <v>50000</v>
      </c>
      <c r="F444" s="105">
        <v>50000</v>
      </c>
      <c r="G444" s="135"/>
      <c r="H444" s="135"/>
      <c r="I444" s="135"/>
      <c r="J444" s="256"/>
      <c r="K444" s="188">
        <f t="shared" si="50"/>
        <v>70650</v>
      </c>
      <c r="L444" s="105"/>
      <c r="M444" s="105"/>
      <c r="N444" s="105"/>
      <c r="O444" s="369">
        <v>12800</v>
      </c>
      <c r="P444" s="105">
        <v>5400</v>
      </c>
      <c r="Q444" s="105"/>
      <c r="R444" s="105">
        <v>8000</v>
      </c>
      <c r="S444" s="377">
        <v>2700</v>
      </c>
      <c r="T444" s="105">
        <v>6000</v>
      </c>
      <c r="U444" s="387">
        <v>5950</v>
      </c>
      <c r="V444" s="105">
        <v>22800</v>
      </c>
      <c r="W444" s="105">
        <v>7000</v>
      </c>
    </row>
    <row r="445" spans="1:23" s="1" customFormat="1">
      <c r="A445" s="122">
        <v>20</v>
      </c>
      <c r="B445" s="354" t="s">
        <v>34</v>
      </c>
      <c r="C445" s="105" t="s">
        <v>383</v>
      </c>
      <c r="D445" s="188">
        <f t="shared" si="48"/>
        <v>431800</v>
      </c>
      <c r="E445" s="188">
        <f t="shared" si="49"/>
        <v>250000</v>
      </c>
      <c r="F445" s="105">
        <v>250000</v>
      </c>
      <c r="G445" s="135"/>
      <c r="H445" s="135"/>
      <c r="I445" s="135"/>
      <c r="J445" s="256"/>
      <c r="K445" s="188">
        <f t="shared" si="50"/>
        <v>181800</v>
      </c>
      <c r="L445" s="105"/>
      <c r="M445" s="105"/>
      <c r="N445" s="105"/>
      <c r="O445" s="105">
        <v>21000</v>
      </c>
      <c r="P445" s="105">
        <v>30000</v>
      </c>
      <c r="Q445" s="105"/>
      <c r="R445" s="105">
        <v>27000</v>
      </c>
      <c r="S445" s="320">
        <v>9000</v>
      </c>
      <c r="T445" s="105">
        <v>29500</v>
      </c>
      <c r="U445" s="387">
        <v>12500</v>
      </c>
      <c r="V445" s="105">
        <v>34800</v>
      </c>
      <c r="W445" s="105">
        <v>18000</v>
      </c>
    </row>
    <row r="446" spans="1:23" s="1" customFormat="1" ht="22.5">
      <c r="A446" s="122">
        <v>21</v>
      </c>
      <c r="B446" s="354" t="s">
        <v>34</v>
      </c>
      <c r="C446" s="364" t="s">
        <v>384</v>
      </c>
      <c r="D446" s="188">
        <f t="shared" si="48"/>
        <v>9000</v>
      </c>
      <c r="E446" s="188">
        <f t="shared" si="49"/>
        <v>0</v>
      </c>
      <c r="F446" s="105"/>
      <c r="G446" s="105"/>
      <c r="H446" s="105"/>
      <c r="I446" s="105"/>
      <c r="J446" s="105"/>
      <c r="K446" s="188">
        <f t="shared" si="50"/>
        <v>9000</v>
      </c>
      <c r="L446" s="111">
        <v>9000</v>
      </c>
      <c r="M446" s="105"/>
      <c r="N446" s="105"/>
      <c r="O446" s="105"/>
      <c r="P446" s="105"/>
      <c r="Q446" s="105"/>
      <c r="R446" s="105"/>
      <c r="S446" s="105"/>
      <c r="T446" s="105"/>
      <c r="U446" s="105"/>
      <c r="V446" s="105"/>
      <c r="W446" s="105"/>
    </row>
    <row r="447" spans="1:23" s="1" customFormat="1">
      <c r="A447" s="122">
        <v>22</v>
      </c>
      <c r="B447" s="354" t="s">
        <v>34</v>
      </c>
      <c r="C447" s="104" t="s">
        <v>385</v>
      </c>
      <c r="D447" s="188">
        <f t="shared" si="48"/>
        <v>55600</v>
      </c>
      <c r="E447" s="188">
        <f t="shared" si="49"/>
        <v>0</v>
      </c>
      <c r="F447" s="105"/>
      <c r="G447" s="105"/>
      <c r="H447" s="105"/>
      <c r="I447" s="105"/>
      <c r="J447" s="105"/>
      <c r="K447" s="188">
        <f t="shared" si="50"/>
        <v>55600</v>
      </c>
      <c r="L447" s="105">
        <v>55600</v>
      </c>
      <c r="M447" s="105"/>
      <c r="N447" s="105"/>
      <c r="O447" s="105"/>
      <c r="P447" s="105"/>
      <c r="Q447" s="105"/>
      <c r="R447" s="105"/>
      <c r="S447" s="105"/>
      <c r="T447" s="105"/>
      <c r="U447" s="105"/>
      <c r="V447" s="105"/>
      <c r="W447" s="105"/>
    </row>
    <row r="448" spans="1:23" s="35" customFormat="1" ht="10.5">
      <c r="A448" s="388">
        <v>12</v>
      </c>
      <c r="B448" s="362" t="s">
        <v>34</v>
      </c>
      <c r="C448" s="389" t="s">
        <v>22</v>
      </c>
      <c r="D448" s="51">
        <f t="shared" si="48"/>
        <v>2471445.2000000002</v>
      </c>
      <c r="E448" s="51">
        <f t="shared" si="49"/>
        <v>400000</v>
      </c>
      <c r="F448" s="96">
        <f>SUM(F449:F459)</f>
        <v>400000</v>
      </c>
      <c r="G448" s="96">
        <f t="shared" ref="G448:W448" si="54">SUM(G449:G459)</f>
        <v>0</v>
      </c>
      <c r="H448" s="96">
        <f t="shared" si="54"/>
        <v>0</v>
      </c>
      <c r="I448" s="96">
        <f t="shared" si="54"/>
        <v>0</v>
      </c>
      <c r="J448" s="96">
        <f t="shared" si="54"/>
        <v>0</v>
      </c>
      <c r="K448" s="51">
        <f t="shared" si="50"/>
        <v>2071445.2</v>
      </c>
      <c r="L448" s="96">
        <f t="shared" si="54"/>
        <v>514981</v>
      </c>
      <c r="M448" s="96">
        <f t="shared" si="54"/>
        <v>60114</v>
      </c>
      <c r="N448" s="96">
        <f t="shared" si="54"/>
        <v>39344</v>
      </c>
      <c r="O448" s="96">
        <f t="shared" si="54"/>
        <v>174358</v>
      </c>
      <c r="P448" s="96">
        <f t="shared" si="54"/>
        <v>221400</v>
      </c>
      <c r="Q448" s="96">
        <f t="shared" si="54"/>
        <v>41214.199999999997</v>
      </c>
      <c r="R448" s="96">
        <f t="shared" si="54"/>
        <v>179542</v>
      </c>
      <c r="S448" s="96">
        <f t="shared" si="54"/>
        <v>209773</v>
      </c>
      <c r="T448" s="96">
        <f t="shared" si="54"/>
        <v>242379</v>
      </c>
      <c r="U448" s="96">
        <f t="shared" si="54"/>
        <v>160300</v>
      </c>
      <c r="V448" s="96">
        <f t="shared" si="54"/>
        <v>121100</v>
      </c>
      <c r="W448" s="96">
        <f t="shared" si="54"/>
        <v>106940</v>
      </c>
    </row>
    <row r="449" spans="1:23" s="1" customFormat="1" ht="22.5">
      <c r="A449" s="196">
        <v>1</v>
      </c>
      <c r="B449" s="354" t="s">
        <v>34</v>
      </c>
      <c r="C449" s="187" t="s">
        <v>502</v>
      </c>
      <c r="D449" s="188">
        <f t="shared" si="48"/>
        <v>51093</v>
      </c>
      <c r="E449" s="188">
        <f t="shared" si="49"/>
        <v>20000</v>
      </c>
      <c r="F449" s="320">
        <v>20000</v>
      </c>
      <c r="G449" s="135"/>
      <c r="H449" s="135"/>
      <c r="I449" s="135"/>
      <c r="J449" s="135"/>
      <c r="K449" s="188">
        <f t="shared" si="50"/>
        <v>31093</v>
      </c>
      <c r="L449" s="111"/>
      <c r="M449" s="356"/>
      <c r="N449" s="135"/>
      <c r="O449" s="117">
        <v>1920</v>
      </c>
      <c r="P449" s="365">
        <v>5000</v>
      </c>
      <c r="Q449" s="117"/>
      <c r="R449" s="115">
        <v>3838</v>
      </c>
      <c r="S449" s="117">
        <v>11295</v>
      </c>
      <c r="T449" s="356">
        <v>9040</v>
      </c>
      <c r="U449" s="109">
        <v>0</v>
      </c>
      <c r="V449" s="117"/>
      <c r="W449" s="111"/>
    </row>
    <row r="450" spans="1:23" s="1" customFormat="1" ht="22.5">
      <c r="A450" s="196">
        <v>2</v>
      </c>
      <c r="B450" s="354" t="s">
        <v>34</v>
      </c>
      <c r="C450" s="187" t="s">
        <v>503</v>
      </c>
      <c r="D450" s="188">
        <f t="shared" si="48"/>
        <v>41280</v>
      </c>
      <c r="E450" s="188">
        <f t="shared" si="49"/>
        <v>41280</v>
      </c>
      <c r="F450" s="320">
        <v>41280</v>
      </c>
      <c r="G450" s="135"/>
      <c r="H450" s="135"/>
      <c r="I450" s="135"/>
      <c r="J450" s="135"/>
      <c r="K450" s="188">
        <f t="shared" si="50"/>
        <v>0</v>
      </c>
      <c r="L450" s="111"/>
      <c r="M450" s="356"/>
      <c r="N450" s="135"/>
      <c r="O450" s="117"/>
      <c r="P450" s="365"/>
      <c r="Q450" s="117"/>
      <c r="R450" s="115"/>
      <c r="S450" s="117"/>
      <c r="T450" s="356"/>
      <c r="U450" s="109"/>
      <c r="V450" s="117"/>
      <c r="W450" s="111"/>
    </row>
    <row r="451" spans="1:23" s="1" customFormat="1" ht="33.75">
      <c r="A451" s="196">
        <v>3</v>
      </c>
      <c r="B451" s="354" t="s">
        <v>34</v>
      </c>
      <c r="C451" s="364" t="s">
        <v>54</v>
      </c>
      <c r="D451" s="188">
        <f t="shared" si="48"/>
        <v>226200</v>
      </c>
      <c r="E451" s="188">
        <f t="shared" si="49"/>
        <v>0</v>
      </c>
      <c r="F451" s="320"/>
      <c r="G451" s="135"/>
      <c r="H451" s="135"/>
      <c r="I451" s="135"/>
      <c r="J451" s="135"/>
      <c r="K451" s="188">
        <f t="shared" si="50"/>
        <v>226200</v>
      </c>
      <c r="L451" s="111">
        <v>28800</v>
      </c>
      <c r="M451" s="356">
        <v>10800</v>
      </c>
      <c r="N451" s="135">
        <v>18000</v>
      </c>
      <c r="O451" s="117">
        <v>27000</v>
      </c>
      <c r="P451" s="365">
        <v>28800</v>
      </c>
      <c r="Q451" s="117"/>
      <c r="R451" s="115">
        <v>34200</v>
      </c>
      <c r="S451" s="117">
        <v>19800</v>
      </c>
      <c r="T451" s="356">
        <v>8400</v>
      </c>
      <c r="U451" s="111">
        <v>18000</v>
      </c>
      <c r="V451" s="117">
        <v>16200</v>
      </c>
      <c r="W451" s="111">
        <v>16200</v>
      </c>
    </row>
    <row r="452" spans="1:23" s="1" customFormat="1" ht="22.5">
      <c r="A452" s="196">
        <v>4</v>
      </c>
      <c r="B452" s="354" t="s">
        <v>34</v>
      </c>
      <c r="C452" s="364" t="s">
        <v>55</v>
      </c>
      <c r="D452" s="188">
        <f t="shared" si="48"/>
        <v>308600</v>
      </c>
      <c r="E452" s="188">
        <f t="shared" si="49"/>
        <v>0</v>
      </c>
      <c r="F452" s="320"/>
      <c r="G452" s="135"/>
      <c r="H452" s="135"/>
      <c r="I452" s="135"/>
      <c r="J452" s="135"/>
      <c r="K452" s="188">
        <f t="shared" si="50"/>
        <v>308600</v>
      </c>
      <c r="L452" s="111"/>
      <c r="M452" s="356">
        <v>12000</v>
      </c>
      <c r="N452" s="135"/>
      <c r="O452" s="117">
        <v>36000</v>
      </c>
      <c r="P452" s="365">
        <v>48000</v>
      </c>
      <c r="Q452" s="117"/>
      <c r="R452" s="115">
        <v>32400</v>
      </c>
      <c r="S452" s="117"/>
      <c r="T452" s="356">
        <v>72000</v>
      </c>
      <c r="U452" s="111">
        <v>32000</v>
      </c>
      <c r="V452" s="117">
        <v>46200</v>
      </c>
      <c r="W452" s="111">
        <v>30000</v>
      </c>
    </row>
    <row r="453" spans="1:23" s="1" customFormat="1">
      <c r="A453" s="196">
        <v>5</v>
      </c>
      <c r="B453" s="354" t="s">
        <v>34</v>
      </c>
      <c r="C453" s="191" t="s">
        <v>433</v>
      </c>
      <c r="D453" s="188">
        <f t="shared" si="48"/>
        <v>276929</v>
      </c>
      <c r="E453" s="188">
        <f t="shared" si="49"/>
        <v>157740</v>
      </c>
      <c r="F453" s="115">
        <v>157740</v>
      </c>
      <c r="G453" s="135"/>
      <c r="H453" s="135"/>
      <c r="I453" s="135"/>
      <c r="J453" s="135"/>
      <c r="K453" s="188">
        <f t="shared" si="50"/>
        <v>119189</v>
      </c>
      <c r="L453" s="136"/>
      <c r="M453" s="135"/>
      <c r="N453" s="189"/>
      <c r="O453" s="115">
        <v>14720</v>
      </c>
      <c r="P453" s="137">
        <v>10000</v>
      </c>
      <c r="Q453" s="137">
        <v>8680</v>
      </c>
      <c r="R453" s="115">
        <v>3000</v>
      </c>
      <c r="S453" s="137">
        <v>22380</v>
      </c>
      <c r="T453" s="190">
        <v>44129</v>
      </c>
      <c r="U453" s="136">
        <v>7500</v>
      </c>
      <c r="V453" s="137">
        <v>1440</v>
      </c>
      <c r="W453" s="137">
        <v>7340</v>
      </c>
    </row>
    <row r="454" spans="1:23" s="1" customFormat="1" ht="22.5">
      <c r="A454" s="196">
        <v>6</v>
      </c>
      <c r="B454" s="354" t="s">
        <v>34</v>
      </c>
      <c r="C454" s="364" t="s">
        <v>504</v>
      </c>
      <c r="D454" s="188">
        <f t="shared" si="48"/>
        <v>20000</v>
      </c>
      <c r="E454" s="188">
        <f t="shared" si="49"/>
        <v>10000</v>
      </c>
      <c r="F454" s="320">
        <v>10000</v>
      </c>
      <c r="G454" s="135"/>
      <c r="H454" s="135"/>
      <c r="I454" s="135"/>
      <c r="J454" s="135"/>
      <c r="K454" s="188">
        <f t="shared" si="50"/>
        <v>10000</v>
      </c>
      <c r="L454" s="111"/>
      <c r="M454" s="356"/>
      <c r="N454" s="135"/>
      <c r="O454" s="117">
        <v>10000</v>
      </c>
      <c r="P454" s="365"/>
      <c r="Q454" s="117"/>
      <c r="R454" s="115"/>
      <c r="S454" s="117"/>
      <c r="T454" s="356"/>
      <c r="U454" s="111"/>
      <c r="V454" s="117"/>
      <c r="W454" s="111"/>
    </row>
    <row r="455" spans="1:23" s="1" customFormat="1">
      <c r="A455" s="196">
        <v>7</v>
      </c>
      <c r="B455" s="354" t="s">
        <v>34</v>
      </c>
      <c r="C455" s="364" t="s">
        <v>56</v>
      </c>
      <c r="D455" s="188">
        <f t="shared" si="48"/>
        <v>111450</v>
      </c>
      <c r="E455" s="188">
        <f t="shared" si="49"/>
        <v>70980</v>
      </c>
      <c r="F455" s="320">
        <v>70980</v>
      </c>
      <c r="G455" s="135"/>
      <c r="H455" s="135"/>
      <c r="I455" s="135"/>
      <c r="J455" s="135"/>
      <c r="K455" s="188">
        <f t="shared" si="50"/>
        <v>40470</v>
      </c>
      <c r="L455" s="111">
        <v>6900</v>
      </c>
      <c r="M455" s="356"/>
      <c r="N455" s="135">
        <v>1180</v>
      </c>
      <c r="O455" s="117">
        <v>4600</v>
      </c>
      <c r="P455" s="365">
        <v>3000</v>
      </c>
      <c r="Q455" s="117">
        <v>1270</v>
      </c>
      <c r="R455" s="115"/>
      <c r="S455" s="117">
        <v>3500</v>
      </c>
      <c r="T455" s="356">
        <v>12760</v>
      </c>
      <c r="U455" s="111">
        <v>2800</v>
      </c>
      <c r="V455" s="117">
        <v>2160</v>
      </c>
      <c r="W455" s="111">
        <v>2300</v>
      </c>
    </row>
    <row r="456" spans="1:23" s="1" customFormat="1">
      <c r="A456" s="196">
        <v>8</v>
      </c>
      <c r="B456" s="354" t="s">
        <v>34</v>
      </c>
      <c r="C456" s="364" t="s">
        <v>505</v>
      </c>
      <c r="D456" s="188">
        <f t="shared" si="48"/>
        <v>6088</v>
      </c>
      <c r="E456" s="188">
        <f t="shared" si="49"/>
        <v>0</v>
      </c>
      <c r="F456" s="320"/>
      <c r="G456" s="135"/>
      <c r="H456" s="135"/>
      <c r="I456" s="135"/>
      <c r="J456" s="135"/>
      <c r="K456" s="188">
        <f t="shared" si="50"/>
        <v>6088</v>
      </c>
      <c r="L456" s="111">
        <v>538</v>
      </c>
      <c r="M456" s="356"/>
      <c r="N456" s="135">
        <v>1000</v>
      </c>
      <c r="O456" s="117"/>
      <c r="P456" s="365">
        <v>1600</v>
      </c>
      <c r="Q456" s="117"/>
      <c r="R456" s="115"/>
      <c r="S456" s="117"/>
      <c r="T456" s="356">
        <v>750</v>
      </c>
      <c r="U456" s="109"/>
      <c r="V456" s="117">
        <v>1200</v>
      </c>
      <c r="W456" s="111">
        <v>1000</v>
      </c>
    </row>
    <row r="457" spans="1:23" s="1" customFormat="1">
      <c r="A457" s="196">
        <v>9</v>
      </c>
      <c r="B457" s="354" t="s">
        <v>34</v>
      </c>
      <c r="C457" s="364" t="s">
        <v>506</v>
      </c>
      <c r="D457" s="188">
        <f t="shared" si="48"/>
        <v>32704</v>
      </c>
      <c r="E457" s="188">
        <f t="shared" si="49"/>
        <v>0</v>
      </c>
      <c r="F457" s="105"/>
      <c r="G457" s="105"/>
      <c r="H457" s="105"/>
      <c r="I457" s="105"/>
      <c r="J457" s="105"/>
      <c r="K457" s="188">
        <f t="shared" si="50"/>
        <v>32704</v>
      </c>
      <c r="L457" s="105">
        <v>5540</v>
      </c>
      <c r="M457" s="105">
        <v>8000</v>
      </c>
      <c r="N457" s="105">
        <v>19164</v>
      </c>
      <c r="O457" s="105"/>
      <c r="P457" s="105"/>
      <c r="Q457" s="105"/>
      <c r="R457" s="105"/>
      <c r="S457" s="105"/>
      <c r="T457" s="105"/>
      <c r="U457" s="105"/>
      <c r="V457" s="105"/>
      <c r="W457" s="105"/>
    </row>
    <row r="458" spans="1:23" s="1" customFormat="1">
      <c r="A458" s="196">
        <v>10</v>
      </c>
      <c r="B458" s="354" t="s">
        <v>34</v>
      </c>
      <c r="C458" s="104" t="s">
        <v>292</v>
      </c>
      <c r="D458" s="188">
        <f t="shared" ref="D458:D521" si="55">E458+K458</f>
        <v>1397101.2</v>
      </c>
      <c r="E458" s="188">
        <f t="shared" ref="E458:E473" si="56">SUM(F458:J458)</f>
        <v>100000</v>
      </c>
      <c r="F458" s="105">
        <v>100000</v>
      </c>
      <c r="G458" s="105"/>
      <c r="H458" s="105"/>
      <c r="I458" s="105"/>
      <c r="J458" s="105"/>
      <c r="K458" s="188">
        <f t="shared" ref="K458:K521" si="57">SUM(L458:W458)</f>
        <v>1297101.2</v>
      </c>
      <c r="L458" s="105">
        <v>473203</v>
      </c>
      <c r="M458" s="105">
        <v>29314</v>
      </c>
      <c r="N458" s="105"/>
      <c r="O458" s="105">
        <v>80118</v>
      </c>
      <c r="P458" s="105">
        <v>125000</v>
      </c>
      <c r="Q458" s="233">
        <v>31264.2</v>
      </c>
      <c r="R458" s="105">
        <v>106104</v>
      </c>
      <c r="S458" s="105">
        <v>152798</v>
      </c>
      <c r="T458" s="105">
        <v>95300</v>
      </c>
      <c r="U458" s="105">
        <v>100000</v>
      </c>
      <c r="V458" s="105">
        <v>53900</v>
      </c>
      <c r="W458" s="105">
        <v>50100</v>
      </c>
    </row>
    <row r="459" spans="1:23" s="1" customFormat="1">
      <c r="A459" s="196">
        <v>11</v>
      </c>
      <c r="B459" s="354" t="s">
        <v>34</v>
      </c>
      <c r="C459" s="104" t="s">
        <v>291</v>
      </c>
      <c r="D459" s="188">
        <f t="shared" si="55"/>
        <v>0</v>
      </c>
      <c r="E459" s="188">
        <f t="shared" si="56"/>
        <v>0</v>
      </c>
      <c r="F459" s="105"/>
      <c r="G459" s="105"/>
      <c r="H459" s="105"/>
      <c r="I459" s="105"/>
      <c r="J459" s="105"/>
      <c r="K459" s="188">
        <f t="shared" si="57"/>
        <v>0</v>
      </c>
      <c r="L459" s="105"/>
      <c r="M459" s="105"/>
      <c r="N459" s="105"/>
      <c r="O459" s="105"/>
      <c r="P459" s="105"/>
      <c r="Q459" s="105"/>
      <c r="R459" s="105"/>
      <c r="S459" s="105"/>
      <c r="T459" s="105"/>
      <c r="U459" s="105"/>
      <c r="V459" s="105"/>
      <c r="W459" s="105"/>
    </row>
    <row r="460" spans="1:23" s="35" customFormat="1" ht="10.5">
      <c r="A460" s="95">
        <v>13</v>
      </c>
      <c r="B460" s="533" t="s">
        <v>582</v>
      </c>
      <c r="C460" s="129" t="s">
        <v>256</v>
      </c>
      <c r="D460" s="51">
        <f t="shared" si="55"/>
        <v>100000</v>
      </c>
      <c r="E460" s="51">
        <f t="shared" si="56"/>
        <v>100000</v>
      </c>
      <c r="F460" s="96">
        <f>SUM(F461)</f>
        <v>0</v>
      </c>
      <c r="G460" s="96">
        <f t="shared" ref="G460:W460" si="58">SUM(G461)</f>
        <v>0</v>
      </c>
      <c r="H460" s="96">
        <f t="shared" si="58"/>
        <v>0</v>
      </c>
      <c r="I460" s="96">
        <f t="shared" si="58"/>
        <v>100000</v>
      </c>
      <c r="J460" s="96">
        <f t="shared" si="58"/>
        <v>0</v>
      </c>
      <c r="K460" s="51">
        <f t="shared" si="57"/>
        <v>0</v>
      </c>
      <c r="L460" s="96">
        <f t="shared" si="58"/>
        <v>0</v>
      </c>
      <c r="M460" s="96">
        <f t="shared" si="58"/>
        <v>0</v>
      </c>
      <c r="N460" s="96">
        <f t="shared" si="58"/>
        <v>0</v>
      </c>
      <c r="O460" s="96">
        <f t="shared" si="58"/>
        <v>0</v>
      </c>
      <c r="P460" s="96">
        <f t="shared" si="58"/>
        <v>0</v>
      </c>
      <c r="Q460" s="96">
        <f t="shared" si="58"/>
        <v>0</v>
      </c>
      <c r="R460" s="96">
        <f t="shared" si="58"/>
        <v>0</v>
      </c>
      <c r="S460" s="96">
        <f t="shared" si="58"/>
        <v>0</v>
      </c>
      <c r="T460" s="96">
        <f t="shared" si="58"/>
        <v>0</v>
      </c>
      <c r="U460" s="96">
        <f t="shared" si="58"/>
        <v>0</v>
      </c>
      <c r="V460" s="96">
        <f t="shared" si="58"/>
        <v>0</v>
      </c>
      <c r="W460" s="96">
        <f t="shared" si="58"/>
        <v>0</v>
      </c>
    </row>
    <row r="461" spans="1:23" s="1" customFormat="1">
      <c r="A461" s="48">
        <v>1</v>
      </c>
      <c r="B461" s="390" t="s">
        <v>582</v>
      </c>
      <c r="C461" s="391" t="s">
        <v>573</v>
      </c>
      <c r="D461" s="207">
        <f t="shared" si="55"/>
        <v>100000</v>
      </c>
      <c r="E461" s="207">
        <f t="shared" si="56"/>
        <v>100000</v>
      </c>
      <c r="F461" s="57"/>
      <c r="G461" s="57"/>
      <c r="H461" s="57"/>
      <c r="I461" s="392">
        <v>100000</v>
      </c>
      <c r="J461" s="57"/>
      <c r="K461" s="207">
        <f t="shared" si="57"/>
        <v>0</v>
      </c>
      <c r="L461" s="57"/>
      <c r="M461" s="57"/>
      <c r="N461" s="57"/>
      <c r="O461" s="57"/>
      <c r="P461" s="57"/>
      <c r="Q461" s="57"/>
      <c r="R461" s="57"/>
      <c r="S461" s="57"/>
      <c r="T461" s="57"/>
      <c r="U461" s="57"/>
      <c r="V461" s="57"/>
      <c r="W461" s="57"/>
    </row>
    <row r="462" spans="1:23" s="35" customFormat="1" ht="10.5">
      <c r="A462" s="95">
        <v>14</v>
      </c>
      <c r="B462" s="533" t="s">
        <v>582</v>
      </c>
      <c r="C462" s="129" t="s">
        <v>239</v>
      </c>
      <c r="D462" s="51">
        <f t="shared" si="55"/>
        <v>104920</v>
      </c>
      <c r="E462" s="51">
        <f t="shared" si="56"/>
        <v>104920</v>
      </c>
      <c r="F462" s="96">
        <f>SUM(F463:F465)</f>
        <v>0</v>
      </c>
      <c r="G462" s="96">
        <f t="shared" ref="G462:W462" si="59">SUM(G463:G465)</f>
        <v>0</v>
      </c>
      <c r="H462" s="96">
        <f t="shared" si="59"/>
        <v>0</v>
      </c>
      <c r="I462" s="96">
        <f t="shared" si="59"/>
        <v>104920</v>
      </c>
      <c r="J462" s="96">
        <f t="shared" si="59"/>
        <v>0</v>
      </c>
      <c r="K462" s="51">
        <f t="shared" si="57"/>
        <v>0</v>
      </c>
      <c r="L462" s="96">
        <f t="shared" si="59"/>
        <v>0</v>
      </c>
      <c r="M462" s="96">
        <f t="shared" si="59"/>
        <v>0</v>
      </c>
      <c r="N462" s="96">
        <f t="shared" si="59"/>
        <v>0</v>
      </c>
      <c r="O462" s="96">
        <f t="shared" si="59"/>
        <v>0</v>
      </c>
      <c r="P462" s="96">
        <f t="shared" si="59"/>
        <v>0</v>
      </c>
      <c r="Q462" s="96">
        <f t="shared" si="59"/>
        <v>0</v>
      </c>
      <c r="R462" s="96">
        <f t="shared" si="59"/>
        <v>0</v>
      </c>
      <c r="S462" s="96">
        <f t="shared" si="59"/>
        <v>0</v>
      </c>
      <c r="T462" s="96">
        <f t="shared" si="59"/>
        <v>0</v>
      </c>
      <c r="U462" s="96">
        <f t="shared" si="59"/>
        <v>0</v>
      </c>
      <c r="V462" s="96">
        <f t="shared" si="59"/>
        <v>0</v>
      </c>
      <c r="W462" s="96">
        <f t="shared" si="59"/>
        <v>0</v>
      </c>
    </row>
    <row r="463" spans="1:23" s="134" customFormat="1">
      <c r="A463" s="393">
        <v>1</v>
      </c>
      <c r="B463" s="390" t="s">
        <v>582</v>
      </c>
      <c r="C463" s="391" t="s">
        <v>574</v>
      </c>
      <c r="D463" s="207">
        <f t="shared" si="55"/>
        <v>78180</v>
      </c>
      <c r="E463" s="207">
        <f t="shared" si="56"/>
        <v>78180</v>
      </c>
      <c r="F463" s="52"/>
      <c r="G463" s="52"/>
      <c r="H463" s="52"/>
      <c r="I463" s="53">
        <v>78180</v>
      </c>
      <c r="J463" s="52"/>
      <c r="K463" s="207">
        <f t="shared" si="57"/>
        <v>0</v>
      </c>
      <c r="L463" s="52"/>
      <c r="M463" s="52"/>
      <c r="N463" s="52"/>
      <c r="O463" s="52"/>
      <c r="P463" s="52"/>
      <c r="Q463" s="52"/>
      <c r="R463" s="52"/>
      <c r="S463" s="52"/>
      <c r="T463" s="52"/>
      <c r="U463" s="52"/>
      <c r="V463" s="52"/>
      <c r="W463" s="52"/>
    </row>
    <row r="464" spans="1:23" s="266" customFormat="1" ht="22.5">
      <c r="A464" s="393">
        <v>2</v>
      </c>
      <c r="B464" s="390" t="s">
        <v>582</v>
      </c>
      <c r="C464" s="394" t="s">
        <v>575</v>
      </c>
      <c r="D464" s="207">
        <f t="shared" si="55"/>
        <v>16420</v>
      </c>
      <c r="E464" s="207">
        <f t="shared" si="56"/>
        <v>16420</v>
      </c>
      <c r="F464" s="315"/>
      <c r="G464" s="315"/>
      <c r="H464" s="315"/>
      <c r="I464" s="60">
        <v>16420</v>
      </c>
      <c r="J464" s="315"/>
      <c r="K464" s="207">
        <f t="shared" si="57"/>
        <v>0</v>
      </c>
      <c r="L464" s="315"/>
      <c r="M464" s="315"/>
      <c r="N464" s="315"/>
      <c r="O464" s="315"/>
      <c r="P464" s="315"/>
      <c r="Q464" s="315"/>
      <c r="R464" s="315"/>
      <c r="S464" s="315"/>
      <c r="T464" s="315"/>
      <c r="U464" s="315"/>
      <c r="V464" s="315"/>
      <c r="W464" s="315"/>
    </row>
    <row r="465" spans="1:23" s="266" customFormat="1">
      <c r="A465" s="393">
        <v>3</v>
      </c>
      <c r="B465" s="390" t="s">
        <v>582</v>
      </c>
      <c r="C465" s="391" t="s">
        <v>227</v>
      </c>
      <c r="D465" s="207">
        <f t="shared" si="55"/>
        <v>10320</v>
      </c>
      <c r="E465" s="207">
        <f t="shared" si="56"/>
        <v>10320</v>
      </c>
      <c r="F465" s="315"/>
      <c r="G465" s="315"/>
      <c r="H465" s="315"/>
      <c r="I465" s="60">
        <v>10320</v>
      </c>
      <c r="J465" s="315"/>
      <c r="K465" s="207">
        <f t="shared" si="57"/>
        <v>0</v>
      </c>
      <c r="L465" s="315"/>
      <c r="M465" s="315"/>
      <c r="N465" s="315"/>
      <c r="O465" s="315"/>
      <c r="P465" s="315"/>
      <c r="Q465" s="315"/>
      <c r="R465" s="315"/>
      <c r="S465" s="315"/>
      <c r="T465" s="315"/>
      <c r="U465" s="315"/>
      <c r="V465" s="315"/>
      <c r="W465" s="315"/>
    </row>
    <row r="466" spans="1:23" s="398" customFormat="1" ht="21">
      <c r="A466" s="395">
        <v>15</v>
      </c>
      <c r="B466" s="396" t="s">
        <v>34</v>
      </c>
      <c r="C466" s="397" t="s">
        <v>32</v>
      </c>
      <c r="D466" s="51">
        <f t="shared" si="55"/>
        <v>588579</v>
      </c>
      <c r="E466" s="51">
        <f t="shared" si="56"/>
        <v>227000</v>
      </c>
      <c r="F466" s="96">
        <f>SUM(F467:F478)</f>
        <v>227000</v>
      </c>
      <c r="G466" s="96">
        <f t="shared" ref="G466:W466" si="60">SUM(G467:G478)</f>
        <v>0</v>
      </c>
      <c r="H466" s="96">
        <f t="shared" si="60"/>
        <v>0</v>
      </c>
      <c r="I466" s="96">
        <f t="shared" si="60"/>
        <v>0</v>
      </c>
      <c r="J466" s="96">
        <f t="shared" si="60"/>
        <v>0</v>
      </c>
      <c r="K466" s="51">
        <f t="shared" si="57"/>
        <v>361579</v>
      </c>
      <c r="L466" s="96">
        <f t="shared" si="60"/>
        <v>16160</v>
      </c>
      <c r="M466" s="96">
        <f t="shared" si="60"/>
        <v>20500</v>
      </c>
      <c r="N466" s="96">
        <f t="shared" si="60"/>
        <v>27080</v>
      </c>
      <c r="O466" s="96">
        <f t="shared" si="60"/>
        <v>44196</v>
      </c>
      <c r="P466" s="96">
        <f t="shared" si="60"/>
        <v>48736</v>
      </c>
      <c r="Q466" s="96">
        <f t="shared" si="60"/>
        <v>21110</v>
      </c>
      <c r="R466" s="96">
        <f t="shared" si="60"/>
        <v>25060</v>
      </c>
      <c r="S466" s="96">
        <f t="shared" si="60"/>
        <v>8080</v>
      </c>
      <c r="T466" s="96">
        <f t="shared" si="60"/>
        <v>17950</v>
      </c>
      <c r="U466" s="96">
        <f t="shared" si="60"/>
        <v>48000</v>
      </c>
      <c r="V466" s="96">
        <f t="shared" si="60"/>
        <v>64797</v>
      </c>
      <c r="W466" s="96">
        <f t="shared" si="60"/>
        <v>19910</v>
      </c>
    </row>
    <row r="467" spans="1:23" s="400" customFormat="1" ht="22.5">
      <c r="A467" s="122">
        <v>1</v>
      </c>
      <c r="B467" s="354" t="s">
        <v>34</v>
      </c>
      <c r="C467" s="399" t="s">
        <v>335</v>
      </c>
      <c r="D467" s="188">
        <f t="shared" si="55"/>
        <v>50000</v>
      </c>
      <c r="E467" s="188">
        <f t="shared" si="56"/>
        <v>50000</v>
      </c>
      <c r="F467" s="135">
        <v>50000</v>
      </c>
      <c r="G467" s="110"/>
      <c r="H467" s="110"/>
      <c r="I467" s="110"/>
      <c r="J467" s="110"/>
      <c r="K467" s="188">
        <f t="shared" si="57"/>
        <v>0</v>
      </c>
      <c r="L467" s="110"/>
      <c r="M467" s="110"/>
      <c r="N467" s="110"/>
      <c r="O467" s="110"/>
      <c r="P467" s="110"/>
      <c r="Q467" s="110"/>
      <c r="R467" s="110"/>
      <c r="S467" s="110"/>
      <c r="T467" s="110"/>
      <c r="U467" s="110"/>
      <c r="V467" s="110"/>
      <c r="W467" s="110"/>
    </row>
    <row r="468" spans="1:23" s="400" customFormat="1">
      <c r="A468" s="122">
        <v>2</v>
      </c>
      <c r="B468" s="354" t="s">
        <v>34</v>
      </c>
      <c r="C468" s="399" t="s">
        <v>336</v>
      </c>
      <c r="D468" s="188">
        <f t="shared" si="55"/>
        <v>10000</v>
      </c>
      <c r="E468" s="188">
        <f t="shared" si="56"/>
        <v>10000</v>
      </c>
      <c r="F468" s="135">
        <v>10000</v>
      </c>
      <c r="G468" s="110"/>
      <c r="H468" s="110"/>
      <c r="I468" s="110"/>
      <c r="J468" s="110"/>
      <c r="K468" s="188">
        <f t="shared" si="57"/>
        <v>0</v>
      </c>
      <c r="L468" s="110"/>
      <c r="M468" s="110"/>
      <c r="N468" s="110"/>
      <c r="O468" s="110"/>
      <c r="P468" s="110"/>
      <c r="Q468" s="110"/>
      <c r="R468" s="110"/>
      <c r="S468" s="110"/>
      <c r="T468" s="110"/>
      <c r="U468" s="110"/>
      <c r="V468" s="110"/>
      <c r="W468" s="110"/>
    </row>
    <row r="469" spans="1:23" s="400" customFormat="1">
      <c r="A469" s="122">
        <v>3</v>
      </c>
      <c r="B469" s="354" t="s">
        <v>34</v>
      </c>
      <c r="C469" s="399" t="s">
        <v>337</v>
      </c>
      <c r="D469" s="188">
        <f t="shared" si="55"/>
        <v>167000</v>
      </c>
      <c r="E469" s="188">
        <f t="shared" si="56"/>
        <v>167000</v>
      </c>
      <c r="F469" s="135">
        <v>167000</v>
      </c>
      <c r="G469" s="110"/>
      <c r="H469" s="110"/>
      <c r="I469" s="110"/>
      <c r="J469" s="110"/>
      <c r="K469" s="188">
        <f t="shared" si="57"/>
        <v>0</v>
      </c>
      <c r="L469" s="110"/>
      <c r="M469" s="110"/>
      <c r="N469" s="110"/>
      <c r="O469" s="110"/>
      <c r="P469" s="110"/>
      <c r="Q469" s="110"/>
      <c r="R469" s="110"/>
      <c r="S469" s="110"/>
      <c r="T469" s="110"/>
      <c r="U469" s="110"/>
      <c r="V469" s="110"/>
      <c r="W469" s="110"/>
    </row>
    <row r="470" spans="1:23" s="400" customFormat="1">
      <c r="A470" s="122">
        <v>4</v>
      </c>
      <c r="B470" s="354" t="s">
        <v>34</v>
      </c>
      <c r="C470" s="104" t="s">
        <v>291</v>
      </c>
      <c r="D470" s="188">
        <f t="shared" si="55"/>
        <v>0</v>
      </c>
      <c r="E470" s="188">
        <f t="shared" si="56"/>
        <v>0</v>
      </c>
      <c r="F470" s="110"/>
      <c r="G470" s="110"/>
      <c r="H470" s="110"/>
      <c r="I470" s="110"/>
      <c r="J470" s="110"/>
      <c r="K470" s="188">
        <f t="shared" si="57"/>
        <v>0</v>
      </c>
      <c r="L470" s="110"/>
      <c r="M470" s="110"/>
      <c r="N470" s="110"/>
      <c r="O470" s="110"/>
      <c r="P470" s="110"/>
      <c r="Q470" s="110"/>
      <c r="R470" s="110"/>
      <c r="S470" s="110"/>
      <c r="T470" s="110"/>
      <c r="U470" s="110"/>
      <c r="V470" s="110"/>
      <c r="W470" s="110"/>
    </row>
    <row r="471" spans="1:23" s="400" customFormat="1" ht="33.75">
      <c r="A471" s="122">
        <v>5</v>
      </c>
      <c r="B471" s="354" t="s">
        <v>34</v>
      </c>
      <c r="C471" s="401" t="s">
        <v>190</v>
      </c>
      <c r="D471" s="188">
        <f t="shared" si="55"/>
        <v>116850</v>
      </c>
      <c r="E471" s="188">
        <f t="shared" si="56"/>
        <v>0</v>
      </c>
      <c r="F471" s="110"/>
      <c r="G471" s="110"/>
      <c r="H471" s="110"/>
      <c r="I471" s="110"/>
      <c r="J471" s="110"/>
      <c r="K471" s="188">
        <f t="shared" si="57"/>
        <v>116850</v>
      </c>
      <c r="L471" s="402">
        <v>11120</v>
      </c>
      <c r="M471" s="126">
        <v>12000</v>
      </c>
      <c r="N471" s="126">
        <v>25160</v>
      </c>
      <c r="O471" s="126">
        <v>6000</v>
      </c>
      <c r="P471" s="402">
        <v>0</v>
      </c>
      <c r="Q471" s="126">
        <v>1840</v>
      </c>
      <c r="R471" s="126">
        <v>20520</v>
      </c>
      <c r="S471" s="126">
        <v>1220</v>
      </c>
      <c r="T471" s="313">
        <v>4390</v>
      </c>
      <c r="U471" s="126">
        <f>14000+3000</f>
        <v>17000</v>
      </c>
      <c r="V471" s="126">
        <f>3520+2920</f>
        <v>6440</v>
      </c>
      <c r="W471" s="126">
        <v>11160</v>
      </c>
    </row>
    <row r="472" spans="1:23" s="400" customFormat="1" ht="22.5">
      <c r="A472" s="122">
        <v>6</v>
      </c>
      <c r="B472" s="354" t="s">
        <v>34</v>
      </c>
      <c r="C472" s="401" t="s">
        <v>353</v>
      </c>
      <c r="D472" s="188">
        <f t="shared" si="55"/>
        <v>49648</v>
      </c>
      <c r="E472" s="188">
        <f t="shared" si="56"/>
        <v>0</v>
      </c>
      <c r="F472" s="110"/>
      <c r="G472" s="110"/>
      <c r="H472" s="110"/>
      <c r="I472" s="110"/>
      <c r="J472" s="110"/>
      <c r="K472" s="188">
        <f t="shared" si="57"/>
        <v>49648</v>
      </c>
      <c r="L472" s="402">
        <v>3080</v>
      </c>
      <c r="M472" s="126">
        <v>3500</v>
      </c>
      <c r="N472" s="126">
        <v>1920</v>
      </c>
      <c r="O472" s="126">
        <v>2400</v>
      </c>
      <c r="P472" s="402">
        <v>0</v>
      </c>
      <c r="Q472" s="126">
        <v>8290</v>
      </c>
      <c r="R472" s="126">
        <v>3040</v>
      </c>
      <c r="S472" s="126"/>
      <c r="T472" s="313">
        <v>13200</v>
      </c>
      <c r="U472" s="126">
        <v>1000</v>
      </c>
      <c r="V472" s="126">
        <f>4518+1360+1440</f>
        <v>7318</v>
      </c>
      <c r="W472" s="126">
        <v>5900</v>
      </c>
    </row>
    <row r="473" spans="1:23" s="400" customFormat="1" ht="33.75">
      <c r="A473" s="122">
        <v>7</v>
      </c>
      <c r="B473" s="354" t="s">
        <v>34</v>
      </c>
      <c r="C473" s="401" t="s">
        <v>323</v>
      </c>
      <c r="D473" s="188">
        <f t="shared" si="55"/>
        <v>86510</v>
      </c>
      <c r="E473" s="188">
        <f t="shared" si="56"/>
        <v>0</v>
      </c>
      <c r="F473" s="110"/>
      <c r="G473" s="110"/>
      <c r="H473" s="110"/>
      <c r="I473" s="110"/>
      <c r="J473" s="110"/>
      <c r="K473" s="188">
        <f t="shared" si="57"/>
        <v>86510</v>
      </c>
      <c r="L473" s="402">
        <v>1960</v>
      </c>
      <c r="M473" s="126"/>
      <c r="N473" s="126"/>
      <c r="O473" s="126">
        <v>9360</v>
      </c>
      <c r="P473" s="402">
        <v>0</v>
      </c>
      <c r="Q473" s="126">
        <v>1180</v>
      </c>
      <c r="R473" s="126">
        <v>1500</v>
      </c>
      <c r="S473" s="126">
        <v>6860</v>
      </c>
      <c r="T473" s="313">
        <v>0</v>
      </c>
      <c r="U473" s="126">
        <v>21000</v>
      </c>
      <c r="V473" s="126">
        <v>41800</v>
      </c>
      <c r="W473" s="126">
        <v>2850</v>
      </c>
    </row>
    <row r="474" spans="1:23" s="400" customFormat="1" ht="33.75">
      <c r="A474" s="122">
        <v>8</v>
      </c>
      <c r="B474" s="354" t="s">
        <v>34</v>
      </c>
      <c r="C474" s="401" t="s">
        <v>354</v>
      </c>
      <c r="D474" s="188">
        <f t="shared" si="55"/>
        <v>79835</v>
      </c>
      <c r="E474" s="188">
        <f>SUM(F474:J474)</f>
        <v>0</v>
      </c>
      <c r="F474" s="110"/>
      <c r="G474" s="110"/>
      <c r="H474" s="110"/>
      <c r="I474" s="110"/>
      <c r="J474" s="110"/>
      <c r="K474" s="188">
        <f t="shared" si="57"/>
        <v>79835</v>
      </c>
      <c r="L474" s="402"/>
      <c r="M474" s="126">
        <v>5000</v>
      </c>
      <c r="N474" s="126"/>
      <c r="O474" s="126">
        <v>13436</v>
      </c>
      <c r="P474" s="402">
        <v>42000</v>
      </c>
      <c r="Q474" s="126">
        <v>9800</v>
      </c>
      <c r="R474" s="126"/>
      <c r="S474" s="126"/>
      <c r="T474" s="313">
        <v>360</v>
      </c>
      <c r="U474" s="126"/>
      <c r="V474" s="126">
        <f>4500+30+2250+9+2450</f>
        <v>9239</v>
      </c>
      <c r="W474" s="403"/>
    </row>
    <row r="475" spans="1:23" s="400" customFormat="1" ht="22.5">
      <c r="A475" s="122">
        <v>9</v>
      </c>
      <c r="B475" s="354" t="s">
        <v>34</v>
      </c>
      <c r="C475" s="401" t="s">
        <v>355</v>
      </c>
      <c r="D475" s="188">
        <f t="shared" si="55"/>
        <v>0</v>
      </c>
      <c r="E475" s="188">
        <f t="shared" ref="E475:E538" si="61">SUM(F475:J475)</f>
        <v>0</v>
      </c>
      <c r="F475" s="110"/>
      <c r="G475" s="110"/>
      <c r="H475" s="110"/>
      <c r="I475" s="110"/>
      <c r="J475" s="110"/>
      <c r="K475" s="188">
        <f t="shared" si="57"/>
        <v>0</v>
      </c>
      <c r="L475" s="402"/>
      <c r="M475" s="126"/>
      <c r="N475" s="126"/>
      <c r="O475" s="126"/>
      <c r="P475" s="402">
        <v>0</v>
      </c>
      <c r="Q475" s="126"/>
      <c r="R475" s="126"/>
      <c r="S475" s="126"/>
      <c r="T475" s="313">
        <v>0</v>
      </c>
      <c r="U475" s="126"/>
      <c r="V475" s="126"/>
      <c r="W475" s="403"/>
    </row>
    <row r="476" spans="1:23" s="400" customFormat="1" ht="22.5">
      <c r="A476" s="122">
        <v>10</v>
      </c>
      <c r="B476" s="354" t="s">
        <v>34</v>
      </c>
      <c r="C476" s="404" t="s">
        <v>356</v>
      </c>
      <c r="D476" s="188">
        <f t="shared" si="55"/>
        <v>2560</v>
      </c>
      <c r="E476" s="188">
        <f t="shared" si="61"/>
        <v>0</v>
      </c>
      <c r="F476" s="110"/>
      <c r="G476" s="110"/>
      <c r="H476" s="110"/>
      <c r="I476" s="110"/>
      <c r="J476" s="110"/>
      <c r="K476" s="188">
        <f t="shared" si="57"/>
        <v>2560</v>
      </c>
      <c r="L476" s="402"/>
      <c r="M476" s="126"/>
      <c r="N476" s="126"/>
      <c r="O476" s="126"/>
      <c r="P476" s="402">
        <v>2560</v>
      </c>
      <c r="Q476" s="126"/>
      <c r="R476" s="126"/>
      <c r="S476" s="126"/>
      <c r="T476" s="403"/>
      <c r="U476" s="126"/>
      <c r="V476" s="126"/>
      <c r="W476" s="403"/>
    </row>
    <row r="477" spans="1:23" s="400" customFormat="1" ht="45">
      <c r="A477" s="122">
        <v>11</v>
      </c>
      <c r="B477" s="354" t="s">
        <v>34</v>
      </c>
      <c r="C477" s="404" t="s">
        <v>357</v>
      </c>
      <c r="D477" s="188">
        <f t="shared" si="55"/>
        <v>4176</v>
      </c>
      <c r="E477" s="188">
        <f t="shared" si="61"/>
        <v>0</v>
      </c>
      <c r="F477" s="110"/>
      <c r="G477" s="110"/>
      <c r="H477" s="110"/>
      <c r="I477" s="110"/>
      <c r="J477" s="110"/>
      <c r="K477" s="188">
        <f t="shared" si="57"/>
        <v>4176</v>
      </c>
      <c r="L477" s="402"/>
      <c r="M477" s="126"/>
      <c r="N477" s="126"/>
      <c r="O477" s="126"/>
      <c r="P477" s="402">
        <v>4176</v>
      </c>
      <c r="Q477" s="126"/>
      <c r="R477" s="126"/>
      <c r="S477" s="126"/>
      <c r="T477" s="403"/>
      <c r="U477" s="126"/>
      <c r="V477" s="126"/>
      <c r="W477" s="403"/>
    </row>
    <row r="478" spans="1:23" s="400" customFormat="1">
      <c r="A478" s="122">
        <v>12</v>
      </c>
      <c r="B478" s="354" t="s">
        <v>34</v>
      </c>
      <c r="C478" s="401" t="s">
        <v>205</v>
      </c>
      <c r="D478" s="188">
        <f t="shared" si="55"/>
        <v>22000</v>
      </c>
      <c r="E478" s="188">
        <f t="shared" si="61"/>
        <v>0</v>
      </c>
      <c r="F478" s="110"/>
      <c r="G478" s="110"/>
      <c r="H478" s="110"/>
      <c r="I478" s="110"/>
      <c r="J478" s="110"/>
      <c r="K478" s="188">
        <f t="shared" si="57"/>
        <v>22000</v>
      </c>
      <c r="L478" s="246"/>
      <c r="M478" s="403"/>
      <c r="N478" s="403"/>
      <c r="O478" s="126">
        <v>13000</v>
      </c>
      <c r="P478" s="402">
        <v>0</v>
      </c>
      <c r="Q478" s="403"/>
      <c r="R478" s="403"/>
      <c r="S478" s="403"/>
      <c r="T478" s="403"/>
      <c r="U478" s="126">
        <v>9000</v>
      </c>
      <c r="V478" s="403"/>
      <c r="W478" s="403"/>
    </row>
    <row r="479" spans="1:23" s="275" customFormat="1">
      <c r="A479" s="317">
        <v>16</v>
      </c>
      <c r="B479" s="396" t="s">
        <v>34</v>
      </c>
      <c r="C479" s="405" t="s">
        <v>257</v>
      </c>
      <c r="D479" s="51">
        <f t="shared" si="55"/>
        <v>430000</v>
      </c>
      <c r="E479" s="51">
        <f t="shared" si="61"/>
        <v>430000</v>
      </c>
      <c r="F479" s="96">
        <f t="shared" ref="F479:W479" si="62">SUM(F480:F485)</f>
        <v>430000</v>
      </c>
      <c r="G479" s="96">
        <f t="shared" si="62"/>
        <v>0</v>
      </c>
      <c r="H479" s="96">
        <f t="shared" si="62"/>
        <v>0</v>
      </c>
      <c r="I479" s="96">
        <f t="shared" si="62"/>
        <v>0</v>
      </c>
      <c r="J479" s="96">
        <f t="shared" si="62"/>
        <v>0</v>
      </c>
      <c r="K479" s="51">
        <f t="shared" si="57"/>
        <v>0</v>
      </c>
      <c r="L479" s="96">
        <f t="shared" si="62"/>
        <v>0</v>
      </c>
      <c r="M479" s="96">
        <f t="shared" si="62"/>
        <v>0</v>
      </c>
      <c r="N479" s="96">
        <f t="shared" si="62"/>
        <v>0</v>
      </c>
      <c r="O479" s="96">
        <f t="shared" si="62"/>
        <v>0</v>
      </c>
      <c r="P479" s="96">
        <f t="shared" si="62"/>
        <v>0</v>
      </c>
      <c r="Q479" s="96">
        <f t="shared" si="62"/>
        <v>0</v>
      </c>
      <c r="R479" s="96">
        <f t="shared" si="62"/>
        <v>0</v>
      </c>
      <c r="S479" s="96">
        <f t="shared" si="62"/>
        <v>0</v>
      </c>
      <c r="T479" s="96">
        <f t="shared" si="62"/>
        <v>0</v>
      </c>
      <c r="U479" s="96">
        <f t="shared" si="62"/>
        <v>0</v>
      </c>
      <c r="V479" s="96">
        <f t="shared" si="62"/>
        <v>0</v>
      </c>
      <c r="W479" s="96">
        <f t="shared" si="62"/>
        <v>0</v>
      </c>
    </row>
    <row r="480" spans="1:23" s="266" customFormat="1">
      <c r="A480" s="122">
        <v>1</v>
      </c>
      <c r="B480" s="354" t="s">
        <v>34</v>
      </c>
      <c r="C480" s="399" t="s">
        <v>191</v>
      </c>
      <c r="D480" s="188">
        <f t="shared" si="55"/>
        <v>50000</v>
      </c>
      <c r="E480" s="188">
        <f t="shared" si="61"/>
        <v>50000</v>
      </c>
      <c r="F480" s="110">
        <v>50000</v>
      </c>
      <c r="G480" s="110"/>
      <c r="H480" s="110"/>
      <c r="I480" s="110"/>
      <c r="J480" s="110"/>
      <c r="K480" s="188">
        <f t="shared" si="57"/>
        <v>0</v>
      </c>
      <c r="L480" s="110"/>
      <c r="M480" s="110"/>
      <c r="N480" s="110"/>
      <c r="O480" s="110"/>
      <c r="P480" s="110"/>
      <c r="Q480" s="110"/>
      <c r="R480" s="110"/>
      <c r="S480" s="110"/>
      <c r="T480" s="110"/>
      <c r="U480" s="110"/>
      <c r="V480" s="110"/>
      <c r="W480" s="110"/>
    </row>
    <row r="481" spans="1:23" s="266" customFormat="1" ht="22.5">
      <c r="A481" s="122">
        <v>2</v>
      </c>
      <c r="B481" s="354" t="s">
        <v>34</v>
      </c>
      <c r="C481" s="399" t="s">
        <v>286</v>
      </c>
      <c r="D481" s="188">
        <f t="shared" si="55"/>
        <v>320000</v>
      </c>
      <c r="E481" s="188">
        <f t="shared" si="61"/>
        <v>320000</v>
      </c>
      <c r="F481" s="110">
        <v>320000</v>
      </c>
      <c r="G481" s="110"/>
      <c r="H481" s="110"/>
      <c r="I481" s="110"/>
      <c r="J481" s="110"/>
      <c r="K481" s="188">
        <f t="shared" si="57"/>
        <v>0</v>
      </c>
      <c r="L481" s="110"/>
      <c r="M481" s="110"/>
      <c r="N481" s="110"/>
      <c r="O481" s="110"/>
      <c r="P481" s="110"/>
      <c r="Q481" s="110"/>
      <c r="R481" s="110"/>
      <c r="S481" s="110"/>
      <c r="T481" s="110"/>
      <c r="U481" s="110"/>
      <c r="V481" s="110"/>
      <c r="W481" s="110"/>
    </row>
    <row r="482" spans="1:23" s="266" customFormat="1">
      <c r="A482" s="122">
        <v>3</v>
      </c>
      <c r="B482" s="354" t="s">
        <v>34</v>
      </c>
      <c r="C482" s="399" t="s">
        <v>192</v>
      </c>
      <c r="D482" s="188">
        <f t="shared" si="55"/>
        <v>15000</v>
      </c>
      <c r="E482" s="188">
        <f t="shared" si="61"/>
        <v>15000</v>
      </c>
      <c r="F482" s="110">
        <v>15000</v>
      </c>
      <c r="G482" s="110"/>
      <c r="H482" s="110"/>
      <c r="I482" s="110"/>
      <c r="J482" s="110"/>
      <c r="K482" s="188">
        <f t="shared" si="57"/>
        <v>0</v>
      </c>
      <c r="L482" s="110"/>
      <c r="M482" s="110"/>
      <c r="N482" s="110"/>
      <c r="O482" s="110"/>
      <c r="P482" s="110"/>
      <c r="Q482" s="110"/>
      <c r="R482" s="110"/>
      <c r="S482" s="110"/>
      <c r="T482" s="110"/>
      <c r="U482" s="110"/>
      <c r="V482" s="110"/>
      <c r="W482" s="110"/>
    </row>
    <row r="483" spans="1:23" s="266" customFormat="1">
      <c r="A483" s="122">
        <v>4</v>
      </c>
      <c r="B483" s="354" t="s">
        <v>34</v>
      </c>
      <c r="C483" s="104" t="s">
        <v>290</v>
      </c>
      <c r="D483" s="188">
        <f t="shared" si="55"/>
        <v>30000</v>
      </c>
      <c r="E483" s="188">
        <f t="shared" si="61"/>
        <v>30000</v>
      </c>
      <c r="F483" s="110">
        <v>30000</v>
      </c>
      <c r="G483" s="110"/>
      <c r="H483" s="110"/>
      <c r="I483" s="110"/>
      <c r="J483" s="110"/>
      <c r="K483" s="188">
        <f t="shared" si="57"/>
        <v>0</v>
      </c>
      <c r="L483" s="110"/>
      <c r="M483" s="110"/>
      <c r="N483" s="110"/>
      <c r="O483" s="110"/>
      <c r="P483" s="110"/>
      <c r="Q483" s="110"/>
      <c r="R483" s="110"/>
      <c r="S483" s="110"/>
      <c r="T483" s="110"/>
      <c r="U483" s="110"/>
      <c r="V483" s="110"/>
      <c r="W483" s="110"/>
    </row>
    <row r="484" spans="1:23" s="266" customFormat="1">
      <c r="A484" s="122">
        <v>5</v>
      </c>
      <c r="B484" s="354" t="s">
        <v>34</v>
      </c>
      <c r="C484" s="104" t="s">
        <v>292</v>
      </c>
      <c r="D484" s="188">
        <f t="shared" si="55"/>
        <v>0</v>
      </c>
      <c r="E484" s="188">
        <f t="shared" si="61"/>
        <v>0</v>
      </c>
      <c r="F484" s="110"/>
      <c r="G484" s="110"/>
      <c r="H484" s="110"/>
      <c r="I484" s="110"/>
      <c r="J484" s="110"/>
      <c r="K484" s="188">
        <f t="shared" si="57"/>
        <v>0</v>
      </c>
      <c r="L484" s="110"/>
      <c r="M484" s="110"/>
      <c r="N484" s="110"/>
      <c r="O484" s="110"/>
      <c r="P484" s="110"/>
      <c r="Q484" s="110"/>
      <c r="R484" s="110"/>
      <c r="S484" s="110"/>
      <c r="T484" s="110"/>
      <c r="U484" s="110"/>
      <c r="V484" s="110"/>
      <c r="W484" s="110"/>
    </row>
    <row r="485" spans="1:23" s="266" customFormat="1">
      <c r="A485" s="122">
        <v>6</v>
      </c>
      <c r="B485" s="354" t="s">
        <v>34</v>
      </c>
      <c r="C485" s="104" t="s">
        <v>291</v>
      </c>
      <c r="D485" s="188">
        <f t="shared" si="55"/>
        <v>15000</v>
      </c>
      <c r="E485" s="188">
        <f t="shared" si="61"/>
        <v>15000</v>
      </c>
      <c r="F485" s="110">
        <v>15000</v>
      </c>
      <c r="G485" s="110"/>
      <c r="H485" s="110"/>
      <c r="I485" s="110"/>
      <c r="J485" s="110"/>
      <c r="K485" s="188">
        <f t="shared" si="57"/>
        <v>0</v>
      </c>
      <c r="L485" s="110"/>
      <c r="M485" s="110"/>
      <c r="N485" s="110"/>
      <c r="O485" s="110"/>
      <c r="P485" s="110"/>
      <c r="Q485" s="110"/>
      <c r="R485" s="110"/>
      <c r="S485" s="110"/>
      <c r="T485" s="110"/>
      <c r="U485" s="110"/>
      <c r="V485" s="110"/>
      <c r="W485" s="110"/>
    </row>
    <row r="486" spans="1:23" s="398" customFormat="1" ht="21">
      <c r="A486" s="317">
        <v>17</v>
      </c>
      <c r="B486" s="396" t="s">
        <v>34</v>
      </c>
      <c r="C486" s="405" t="s">
        <v>193</v>
      </c>
      <c r="D486" s="51">
        <f t="shared" si="55"/>
        <v>552432</v>
      </c>
      <c r="E486" s="51">
        <f t="shared" si="61"/>
        <v>280000</v>
      </c>
      <c r="F486" s="96">
        <f>SUM(F487:F496)</f>
        <v>280000</v>
      </c>
      <c r="G486" s="96">
        <f t="shared" ref="G486:W486" si="63">SUM(G487:G496)</f>
        <v>0</v>
      </c>
      <c r="H486" s="96">
        <f t="shared" si="63"/>
        <v>0</v>
      </c>
      <c r="I486" s="96">
        <f t="shared" si="63"/>
        <v>0</v>
      </c>
      <c r="J486" s="96">
        <f t="shared" si="63"/>
        <v>0</v>
      </c>
      <c r="K486" s="51">
        <f t="shared" si="57"/>
        <v>272432</v>
      </c>
      <c r="L486" s="96">
        <f t="shared" si="63"/>
        <v>18030</v>
      </c>
      <c r="M486" s="96">
        <f t="shared" si="63"/>
        <v>17000</v>
      </c>
      <c r="N486" s="96">
        <f t="shared" si="63"/>
        <v>19844</v>
      </c>
      <c r="O486" s="96">
        <f t="shared" si="63"/>
        <v>47240</v>
      </c>
      <c r="P486" s="96">
        <f t="shared" si="63"/>
        <v>24813</v>
      </c>
      <c r="Q486" s="96">
        <f t="shared" si="63"/>
        <v>17860</v>
      </c>
      <c r="R486" s="96">
        <f t="shared" si="63"/>
        <v>30560</v>
      </c>
      <c r="S486" s="96">
        <f t="shared" si="63"/>
        <v>44860</v>
      </c>
      <c r="T486" s="96">
        <f t="shared" si="63"/>
        <v>13175</v>
      </c>
      <c r="U486" s="96">
        <f t="shared" si="63"/>
        <v>20550</v>
      </c>
      <c r="V486" s="96">
        <f t="shared" si="63"/>
        <v>9710</v>
      </c>
      <c r="W486" s="96">
        <f t="shared" si="63"/>
        <v>8790</v>
      </c>
    </row>
    <row r="487" spans="1:23" s="400" customFormat="1" ht="22.5">
      <c r="A487" s="122">
        <v>1</v>
      </c>
      <c r="B487" s="354" t="s">
        <v>34</v>
      </c>
      <c r="C487" s="399" t="s">
        <v>341</v>
      </c>
      <c r="D487" s="188">
        <f t="shared" si="55"/>
        <v>186669</v>
      </c>
      <c r="E487" s="188">
        <f t="shared" si="61"/>
        <v>100000</v>
      </c>
      <c r="F487" s="110">
        <v>100000</v>
      </c>
      <c r="G487" s="110"/>
      <c r="H487" s="110"/>
      <c r="I487" s="110"/>
      <c r="J487" s="110"/>
      <c r="K487" s="188">
        <f t="shared" si="57"/>
        <v>86669</v>
      </c>
      <c r="L487" s="402">
        <v>10160</v>
      </c>
      <c r="M487" s="126">
        <v>5000</v>
      </c>
      <c r="N487" s="126">
        <v>10394</v>
      </c>
      <c r="O487" s="126">
        <f>2400+24000</f>
        <v>26400</v>
      </c>
      <c r="P487" s="402">
        <v>0</v>
      </c>
      <c r="Q487" s="126">
        <v>14840</v>
      </c>
      <c r="R487" s="126"/>
      <c r="S487" s="126"/>
      <c r="T487" s="313">
        <v>8115</v>
      </c>
      <c r="U487" s="126">
        <v>5040</v>
      </c>
      <c r="V487" s="126">
        <f>1040+1120+1440</f>
        <v>3600</v>
      </c>
      <c r="W487" s="406">
        <v>3120</v>
      </c>
    </row>
    <row r="488" spans="1:23" s="400" customFormat="1" ht="22.5">
      <c r="A488" s="122">
        <v>2</v>
      </c>
      <c r="B488" s="354" t="s">
        <v>34</v>
      </c>
      <c r="C488" s="399" t="s">
        <v>342</v>
      </c>
      <c r="D488" s="188">
        <f t="shared" si="55"/>
        <v>126941</v>
      </c>
      <c r="E488" s="188">
        <f t="shared" si="61"/>
        <v>60000</v>
      </c>
      <c r="F488" s="110">
        <v>60000</v>
      </c>
      <c r="G488" s="110"/>
      <c r="H488" s="110"/>
      <c r="I488" s="110"/>
      <c r="J488" s="110"/>
      <c r="K488" s="188">
        <f t="shared" si="57"/>
        <v>66941</v>
      </c>
      <c r="L488" s="402">
        <v>7020</v>
      </c>
      <c r="M488" s="126">
        <v>12000</v>
      </c>
      <c r="N488" s="126"/>
      <c r="O488" s="126">
        <v>12000</v>
      </c>
      <c r="P488" s="126">
        <v>2961</v>
      </c>
      <c r="Q488" s="126"/>
      <c r="R488" s="126">
        <v>4850</v>
      </c>
      <c r="S488" s="126">
        <v>11680</v>
      </c>
      <c r="T488" s="313">
        <v>0</v>
      </c>
      <c r="U488" s="126">
        <v>7950</v>
      </c>
      <c r="V488" s="407">
        <f>2800+2860</f>
        <v>5660</v>
      </c>
      <c r="W488" s="117">
        <v>2820</v>
      </c>
    </row>
    <row r="489" spans="1:23" s="400" customFormat="1" ht="22.5">
      <c r="A489" s="122">
        <v>3</v>
      </c>
      <c r="B489" s="354" t="s">
        <v>34</v>
      </c>
      <c r="C489" s="399" t="s">
        <v>343</v>
      </c>
      <c r="D489" s="188">
        <f t="shared" si="55"/>
        <v>6600</v>
      </c>
      <c r="E489" s="188">
        <f t="shared" si="61"/>
        <v>0</v>
      </c>
      <c r="F489" s="110"/>
      <c r="G489" s="110"/>
      <c r="H489" s="110"/>
      <c r="I489" s="110"/>
      <c r="J489" s="110"/>
      <c r="K489" s="188">
        <f t="shared" si="57"/>
        <v>6600</v>
      </c>
      <c r="L489" s="402"/>
      <c r="M489" s="126"/>
      <c r="N489" s="126"/>
      <c r="O489" s="126"/>
      <c r="P489" s="408">
        <v>6600</v>
      </c>
      <c r="Q489" s="126"/>
      <c r="R489" s="126"/>
      <c r="S489" s="126"/>
      <c r="T489" s="313"/>
      <c r="U489" s="126"/>
      <c r="V489" s="407"/>
      <c r="W489" s="117"/>
    </row>
    <row r="490" spans="1:23" s="400" customFormat="1">
      <c r="A490" s="122">
        <v>4</v>
      </c>
      <c r="B490" s="354" t="s">
        <v>34</v>
      </c>
      <c r="C490" s="399" t="s">
        <v>344</v>
      </c>
      <c r="D490" s="188">
        <f t="shared" si="55"/>
        <v>84856</v>
      </c>
      <c r="E490" s="188">
        <f t="shared" si="61"/>
        <v>20000</v>
      </c>
      <c r="F490" s="110">
        <v>20000</v>
      </c>
      <c r="G490" s="110"/>
      <c r="H490" s="110"/>
      <c r="I490" s="110"/>
      <c r="J490" s="110"/>
      <c r="K490" s="188">
        <f t="shared" si="57"/>
        <v>64856</v>
      </c>
      <c r="L490" s="402"/>
      <c r="M490" s="126"/>
      <c r="N490" s="126">
        <v>9450</v>
      </c>
      <c r="O490" s="126">
        <v>8840</v>
      </c>
      <c r="P490" s="126">
        <v>3076</v>
      </c>
      <c r="Q490" s="126">
        <v>3020</v>
      </c>
      <c r="R490" s="126">
        <v>1600</v>
      </c>
      <c r="S490" s="126">
        <v>23400</v>
      </c>
      <c r="T490" s="313">
        <v>5060</v>
      </c>
      <c r="U490" s="126">
        <v>7560</v>
      </c>
      <c r="V490" s="126"/>
      <c r="W490" s="409">
        <v>2850</v>
      </c>
    </row>
    <row r="491" spans="1:23" s="400" customFormat="1" ht="22.5">
      <c r="A491" s="122">
        <v>5</v>
      </c>
      <c r="B491" s="354" t="s">
        <v>34</v>
      </c>
      <c r="C491" s="399" t="s">
        <v>345</v>
      </c>
      <c r="D491" s="188">
        <f t="shared" si="55"/>
        <v>111080</v>
      </c>
      <c r="E491" s="188">
        <f t="shared" si="61"/>
        <v>100000</v>
      </c>
      <c r="F491" s="110">
        <v>100000</v>
      </c>
      <c r="G491" s="110"/>
      <c r="H491" s="110"/>
      <c r="I491" s="110"/>
      <c r="J491" s="110"/>
      <c r="K491" s="188">
        <f t="shared" si="57"/>
        <v>11080</v>
      </c>
      <c r="L491" s="402">
        <v>850</v>
      </c>
      <c r="M491" s="126"/>
      <c r="N491" s="126"/>
      <c r="O491" s="126"/>
      <c r="P491" s="126">
        <v>0</v>
      </c>
      <c r="Q491" s="126"/>
      <c r="R491" s="126"/>
      <c r="S491" s="126">
        <v>9780</v>
      </c>
      <c r="T491" s="313">
        <v>0</v>
      </c>
      <c r="U491" s="126"/>
      <c r="V491" s="126">
        <f>450</f>
        <v>450</v>
      </c>
      <c r="W491" s="124"/>
    </row>
    <row r="492" spans="1:23" s="400" customFormat="1">
      <c r="A492" s="122">
        <v>6</v>
      </c>
      <c r="B492" s="354" t="s">
        <v>34</v>
      </c>
      <c r="C492" s="401" t="s">
        <v>208</v>
      </c>
      <c r="D492" s="188">
        <f t="shared" si="55"/>
        <v>24110</v>
      </c>
      <c r="E492" s="188">
        <f t="shared" si="61"/>
        <v>0</v>
      </c>
      <c r="F492" s="110"/>
      <c r="G492" s="110"/>
      <c r="H492" s="110"/>
      <c r="I492" s="110"/>
      <c r="J492" s="110"/>
      <c r="K492" s="188">
        <f t="shared" si="57"/>
        <v>24110</v>
      </c>
      <c r="L492" s="402"/>
      <c r="M492" s="126"/>
      <c r="N492" s="126"/>
      <c r="O492" s="126"/>
      <c r="P492" s="126"/>
      <c r="Q492" s="126"/>
      <c r="R492" s="126">
        <v>24110</v>
      </c>
      <c r="S492" s="126"/>
      <c r="T492" s="313"/>
      <c r="U492" s="126"/>
      <c r="V492" s="126"/>
      <c r="W492" s="126">
        <v>0</v>
      </c>
    </row>
    <row r="493" spans="1:23" s="400" customFormat="1">
      <c r="A493" s="122">
        <v>7</v>
      </c>
      <c r="B493" s="354" t="s">
        <v>34</v>
      </c>
      <c r="C493" s="410" t="s">
        <v>358</v>
      </c>
      <c r="D493" s="188">
        <f t="shared" si="55"/>
        <v>2560</v>
      </c>
      <c r="E493" s="188">
        <f t="shared" si="61"/>
        <v>0</v>
      </c>
      <c r="F493" s="110"/>
      <c r="G493" s="110"/>
      <c r="H493" s="110"/>
      <c r="I493" s="110"/>
      <c r="J493" s="110"/>
      <c r="K493" s="188">
        <f t="shared" si="57"/>
        <v>2560</v>
      </c>
      <c r="L493" s="402"/>
      <c r="M493" s="126"/>
      <c r="N493" s="126"/>
      <c r="O493" s="126"/>
      <c r="P493" s="408">
        <v>2560</v>
      </c>
      <c r="Q493" s="126"/>
      <c r="R493" s="126"/>
      <c r="S493" s="126"/>
      <c r="T493" s="313"/>
      <c r="U493" s="126"/>
      <c r="V493" s="126"/>
      <c r="W493" s="126"/>
    </row>
    <row r="494" spans="1:23" s="400" customFormat="1">
      <c r="A494" s="122">
        <v>8</v>
      </c>
      <c r="B494" s="354" t="s">
        <v>34</v>
      </c>
      <c r="C494" s="411" t="s">
        <v>359</v>
      </c>
      <c r="D494" s="188">
        <f t="shared" si="55"/>
        <v>2880</v>
      </c>
      <c r="E494" s="188">
        <f t="shared" si="61"/>
        <v>0</v>
      </c>
      <c r="F494" s="110"/>
      <c r="G494" s="110"/>
      <c r="H494" s="110"/>
      <c r="I494" s="110"/>
      <c r="J494" s="110"/>
      <c r="K494" s="188">
        <f t="shared" si="57"/>
        <v>2880</v>
      </c>
      <c r="L494" s="402"/>
      <c r="M494" s="126"/>
      <c r="N494" s="126"/>
      <c r="O494" s="126"/>
      <c r="P494" s="126">
        <v>2880</v>
      </c>
      <c r="Q494" s="126"/>
      <c r="R494" s="126"/>
      <c r="S494" s="126"/>
      <c r="T494" s="313"/>
      <c r="U494" s="126"/>
      <c r="V494" s="126"/>
      <c r="W494" s="126"/>
    </row>
    <row r="495" spans="1:23" s="400" customFormat="1" ht="22.5">
      <c r="A495" s="122">
        <v>9</v>
      </c>
      <c r="B495" s="354" t="s">
        <v>34</v>
      </c>
      <c r="C495" s="412" t="s">
        <v>360</v>
      </c>
      <c r="D495" s="188">
        <f t="shared" si="55"/>
        <v>4176</v>
      </c>
      <c r="E495" s="188">
        <f t="shared" si="61"/>
        <v>0</v>
      </c>
      <c r="F495" s="110"/>
      <c r="G495" s="110"/>
      <c r="H495" s="110"/>
      <c r="I495" s="110"/>
      <c r="J495" s="110"/>
      <c r="K495" s="188">
        <f t="shared" si="57"/>
        <v>4176</v>
      </c>
      <c r="L495" s="402"/>
      <c r="M495" s="126"/>
      <c r="N495" s="126"/>
      <c r="O495" s="126"/>
      <c r="P495" s="126">
        <v>4176</v>
      </c>
      <c r="Q495" s="126"/>
      <c r="R495" s="126"/>
      <c r="S495" s="126"/>
      <c r="T495" s="313"/>
      <c r="U495" s="126"/>
      <c r="V495" s="126"/>
      <c r="W495" s="126"/>
    </row>
    <row r="496" spans="1:23" s="400" customFormat="1">
      <c r="A496" s="122">
        <v>10</v>
      </c>
      <c r="B496" s="354" t="s">
        <v>34</v>
      </c>
      <c r="C496" s="413" t="s">
        <v>361</v>
      </c>
      <c r="D496" s="188">
        <f t="shared" si="55"/>
        <v>2560</v>
      </c>
      <c r="E496" s="188">
        <f t="shared" si="61"/>
        <v>0</v>
      </c>
      <c r="F496" s="110"/>
      <c r="G496" s="110"/>
      <c r="H496" s="110"/>
      <c r="I496" s="110"/>
      <c r="J496" s="110"/>
      <c r="K496" s="188">
        <f t="shared" si="57"/>
        <v>2560</v>
      </c>
      <c r="L496" s="402"/>
      <c r="M496" s="126"/>
      <c r="N496" s="126"/>
      <c r="O496" s="126"/>
      <c r="P496" s="408">
        <v>2560</v>
      </c>
      <c r="Q496" s="126"/>
      <c r="R496" s="126"/>
      <c r="S496" s="126"/>
      <c r="T496" s="313"/>
      <c r="U496" s="126"/>
      <c r="V496" s="126"/>
      <c r="W496" s="126"/>
    </row>
    <row r="497" spans="1:23" s="398" customFormat="1">
      <c r="A497" s="317">
        <v>18</v>
      </c>
      <c r="B497" s="396" t="s">
        <v>34</v>
      </c>
      <c r="C497" s="405" t="s">
        <v>33</v>
      </c>
      <c r="D497" s="51">
        <f t="shared" si="55"/>
        <v>856435</v>
      </c>
      <c r="E497" s="51">
        <f t="shared" si="61"/>
        <v>270000</v>
      </c>
      <c r="F497" s="96">
        <f>SUM(F498:F507)</f>
        <v>270000</v>
      </c>
      <c r="G497" s="96">
        <f t="shared" ref="G497:W497" si="64">SUM(G498:G507)</f>
        <v>0</v>
      </c>
      <c r="H497" s="96">
        <f t="shared" si="64"/>
        <v>0</v>
      </c>
      <c r="I497" s="96">
        <f t="shared" si="64"/>
        <v>0</v>
      </c>
      <c r="J497" s="96">
        <f t="shared" si="64"/>
        <v>0</v>
      </c>
      <c r="K497" s="51">
        <f t="shared" si="57"/>
        <v>586435</v>
      </c>
      <c r="L497" s="96">
        <f t="shared" si="64"/>
        <v>12040</v>
      </c>
      <c r="M497" s="96">
        <f t="shared" si="64"/>
        <v>58800</v>
      </c>
      <c r="N497" s="96">
        <f t="shared" si="64"/>
        <v>42090</v>
      </c>
      <c r="O497" s="96">
        <f t="shared" si="64"/>
        <v>77290</v>
      </c>
      <c r="P497" s="96">
        <f t="shared" si="64"/>
        <v>67649</v>
      </c>
      <c r="Q497" s="96">
        <f t="shared" si="64"/>
        <v>10920</v>
      </c>
      <c r="R497" s="96">
        <f t="shared" si="64"/>
        <v>37660</v>
      </c>
      <c r="S497" s="96">
        <f t="shared" si="64"/>
        <v>43400</v>
      </c>
      <c r="T497" s="96">
        <f t="shared" si="64"/>
        <v>47166</v>
      </c>
      <c r="U497" s="96">
        <f t="shared" si="64"/>
        <v>88970</v>
      </c>
      <c r="V497" s="96">
        <f t="shared" si="64"/>
        <v>73050</v>
      </c>
      <c r="W497" s="96">
        <f t="shared" si="64"/>
        <v>27400</v>
      </c>
    </row>
    <row r="498" spans="1:23" s="400" customFormat="1">
      <c r="A498" s="122">
        <v>1</v>
      </c>
      <c r="B498" s="354" t="s">
        <v>34</v>
      </c>
      <c r="C498" s="399" t="s">
        <v>338</v>
      </c>
      <c r="D498" s="188">
        <f t="shared" si="55"/>
        <v>206046</v>
      </c>
      <c r="E498" s="188">
        <f t="shared" si="61"/>
        <v>70000</v>
      </c>
      <c r="F498" s="110">
        <v>70000</v>
      </c>
      <c r="G498" s="110"/>
      <c r="H498" s="110"/>
      <c r="I498" s="110"/>
      <c r="J498" s="110"/>
      <c r="K498" s="188">
        <f t="shared" si="57"/>
        <v>136046</v>
      </c>
      <c r="L498" s="402">
        <v>10800</v>
      </c>
      <c r="M498" s="126">
        <v>17500</v>
      </c>
      <c r="N498" s="126">
        <v>25690</v>
      </c>
      <c r="O498" s="126">
        <v>32450</v>
      </c>
      <c r="P498" s="126">
        <v>4176</v>
      </c>
      <c r="Q498" s="126"/>
      <c r="R498" s="126">
        <v>5560</v>
      </c>
      <c r="S498" s="126">
        <v>2660</v>
      </c>
      <c r="T498" s="313">
        <v>9500</v>
      </c>
      <c r="U498" s="126">
        <f>3350+14060</f>
        <v>17410</v>
      </c>
      <c r="V498" s="126">
        <f>2550</f>
        <v>2550</v>
      </c>
      <c r="W498" s="126">
        <v>7750</v>
      </c>
    </row>
    <row r="499" spans="1:23" s="400" customFormat="1" ht="22.5">
      <c r="A499" s="122">
        <v>2</v>
      </c>
      <c r="B499" s="354" t="s">
        <v>34</v>
      </c>
      <c r="C499" s="399" t="s">
        <v>339</v>
      </c>
      <c r="D499" s="188">
        <f t="shared" si="55"/>
        <v>215280</v>
      </c>
      <c r="E499" s="188">
        <f t="shared" si="61"/>
        <v>180000</v>
      </c>
      <c r="F499" s="110">
        <v>180000</v>
      </c>
      <c r="G499" s="110"/>
      <c r="H499" s="110"/>
      <c r="I499" s="110"/>
      <c r="J499" s="110"/>
      <c r="K499" s="188">
        <f t="shared" si="57"/>
        <v>35280</v>
      </c>
      <c r="L499" s="402"/>
      <c r="M499" s="126">
        <v>5000</v>
      </c>
      <c r="N499" s="126"/>
      <c r="O499" s="126">
        <v>1040</v>
      </c>
      <c r="P499" s="126">
        <v>0</v>
      </c>
      <c r="Q499" s="126">
        <v>10600</v>
      </c>
      <c r="R499" s="126">
        <v>4500</v>
      </c>
      <c r="S499" s="126">
        <v>1860</v>
      </c>
      <c r="T499" s="313">
        <v>5340</v>
      </c>
      <c r="U499" s="126">
        <v>5040</v>
      </c>
      <c r="V499" s="126"/>
      <c r="W499" s="126">
        <v>1900</v>
      </c>
    </row>
    <row r="500" spans="1:23" s="400" customFormat="1" ht="22.5">
      <c r="A500" s="122">
        <v>3</v>
      </c>
      <c r="B500" s="354" t="s">
        <v>34</v>
      </c>
      <c r="C500" s="399" t="s">
        <v>340</v>
      </c>
      <c r="D500" s="188">
        <f t="shared" si="55"/>
        <v>95250</v>
      </c>
      <c r="E500" s="188">
        <f t="shared" si="61"/>
        <v>20000</v>
      </c>
      <c r="F500" s="110">
        <v>20000</v>
      </c>
      <c r="G500" s="110"/>
      <c r="H500" s="110"/>
      <c r="I500" s="110"/>
      <c r="J500" s="110"/>
      <c r="K500" s="188">
        <f t="shared" si="57"/>
        <v>75250</v>
      </c>
      <c r="L500" s="402">
        <v>1240</v>
      </c>
      <c r="M500" s="126">
        <v>11700</v>
      </c>
      <c r="N500" s="126"/>
      <c r="O500" s="126"/>
      <c r="P500" s="408"/>
      <c r="Q500" s="126"/>
      <c r="R500" s="126"/>
      <c r="S500" s="126">
        <v>11360</v>
      </c>
      <c r="T500" s="124"/>
      <c r="U500" s="126">
        <v>50800</v>
      </c>
      <c r="V500" s="126"/>
      <c r="W500" s="126">
        <v>150</v>
      </c>
    </row>
    <row r="501" spans="1:23" s="400" customFormat="1">
      <c r="A501" s="122">
        <v>4</v>
      </c>
      <c r="B501" s="354" t="s">
        <v>34</v>
      </c>
      <c r="C501" s="414" t="s">
        <v>362</v>
      </c>
      <c r="D501" s="188">
        <f t="shared" si="55"/>
        <v>133506</v>
      </c>
      <c r="E501" s="188">
        <f t="shared" si="61"/>
        <v>0</v>
      </c>
      <c r="F501" s="110"/>
      <c r="G501" s="110"/>
      <c r="H501" s="110"/>
      <c r="I501" s="110"/>
      <c r="J501" s="110"/>
      <c r="K501" s="188">
        <f t="shared" si="57"/>
        <v>133506</v>
      </c>
      <c r="L501" s="402"/>
      <c r="M501" s="126">
        <v>5000</v>
      </c>
      <c r="N501" s="126">
        <v>16400</v>
      </c>
      <c r="O501" s="126">
        <f>4800+39000</f>
        <v>43800</v>
      </c>
      <c r="P501" s="408">
        <v>3140</v>
      </c>
      <c r="Q501" s="126"/>
      <c r="R501" s="126"/>
      <c r="S501" s="126">
        <v>16000</v>
      </c>
      <c r="T501" s="313">
        <v>32326</v>
      </c>
      <c r="U501" s="126">
        <f>6720+9000</f>
        <v>15720</v>
      </c>
      <c r="V501" s="126"/>
      <c r="W501" s="126">
        <v>1120</v>
      </c>
    </row>
    <row r="502" spans="1:23" s="400" customFormat="1">
      <c r="A502" s="122">
        <v>5</v>
      </c>
      <c r="B502" s="354" t="s">
        <v>34</v>
      </c>
      <c r="C502" s="415" t="s">
        <v>363</v>
      </c>
      <c r="D502" s="188">
        <f t="shared" si="55"/>
        <v>146020</v>
      </c>
      <c r="E502" s="188">
        <f t="shared" si="61"/>
        <v>0</v>
      </c>
      <c r="F502" s="110"/>
      <c r="G502" s="110"/>
      <c r="H502" s="110"/>
      <c r="I502" s="110"/>
      <c r="J502" s="110"/>
      <c r="K502" s="188">
        <f t="shared" si="57"/>
        <v>146020</v>
      </c>
      <c r="L502" s="402"/>
      <c r="M502" s="126">
        <v>19600</v>
      </c>
      <c r="N502" s="126"/>
      <c r="O502" s="126"/>
      <c r="P502" s="126">
        <v>0</v>
      </c>
      <c r="Q502" s="126">
        <v>320</v>
      </c>
      <c r="R502" s="126">
        <f>7600+20000</f>
        <v>27600</v>
      </c>
      <c r="S502" s="126">
        <v>11520</v>
      </c>
      <c r="T502" s="313">
        <v>0</v>
      </c>
      <c r="U502" s="126"/>
      <c r="V502" s="126">
        <f>70500</f>
        <v>70500</v>
      </c>
      <c r="W502" s="126">
        <v>16480</v>
      </c>
    </row>
    <row r="503" spans="1:23" s="400" customFormat="1">
      <c r="A503" s="122">
        <v>6</v>
      </c>
      <c r="B503" s="354" t="s">
        <v>34</v>
      </c>
      <c r="C503" s="416" t="s">
        <v>358</v>
      </c>
      <c r="D503" s="188">
        <f t="shared" si="55"/>
        <v>36480</v>
      </c>
      <c r="E503" s="188">
        <f t="shared" si="61"/>
        <v>0</v>
      </c>
      <c r="F503" s="110"/>
      <c r="G503" s="110"/>
      <c r="H503" s="110"/>
      <c r="I503" s="110"/>
      <c r="J503" s="110"/>
      <c r="K503" s="188">
        <f t="shared" si="57"/>
        <v>36480</v>
      </c>
      <c r="L503" s="402"/>
      <c r="M503" s="126"/>
      <c r="N503" s="126"/>
      <c r="O503" s="126"/>
      <c r="P503" s="408">
        <v>36480</v>
      </c>
      <c r="Q503" s="126"/>
      <c r="R503" s="126"/>
      <c r="S503" s="126"/>
      <c r="T503" s="124"/>
      <c r="U503" s="126"/>
      <c r="V503" s="126"/>
      <c r="W503" s="126"/>
    </row>
    <row r="504" spans="1:23" s="400" customFormat="1">
      <c r="A504" s="122">
        <v>7</v>
      </c>
      <c r="B504" s="354" t="s">
        <v>34</v>
      </c>
      <c r="C504" s="417" t="s">
        <v>359</v>
      </c>
      <c r="D504" s="188">
        <f t="shared" si="55"/>
        <v>2560</v>
      </c>
      <c r="E504" s="188">
        <f t="shared" si="61"/>
        <v>0</v>
      </c>
      <c r="F504" s="110"/>
      <c r="G504" s="110"/>
      <c r="H504" s="110"/>
      <c r="I504" s="110"/>
      <c r="J504" s="110"/>
      <c r="K504" s="188">
        <f t="shared" si="57"/>
        <v>2560</v>
      </c>
      <c r="L504" s="402"/>
      <c r="M504" s="126"/>
      <c r="N504" s="126"/>
      <c r="O504" s="126"/>
      <c r="P504" s="408">
        <v>2560</v>
      </c>
      <c r="Q504" s="126"/>
      <c r="R504" s="126"/>
      <c r="S504" s="126"/>
      <c r="T504" s="124"/>
      <c r="U504" s="126"/>
      <c r="V504" s="126"/>
      <c r="W504" s="126"/>
    </row>
    <row r="505" spans="1:23" s="400" customFormat="1" ht="22.5">
      <c r="A505" s="122">
        <v>8</v>
      </c>
      <c r="B505" s="354" t="s">
        <v>34</v>
      </c>
      <c r="C505" s="418" t="s">
        <v>360</v>
      </c>
      <c r="D505" s="188">
        <f t="shared" si="55"/>
        <v>7613</v>
      </c>
      <c r="E505" s="188">
        <f t="shared" si="61"/>
        <v>0</v>
      </c>
      <c r="F505" s="110"/>
      <c r="G505" s="110"/>
      <c r="H505" s="110"/>
      <c r="I505" s="110"/>
      <c r="J505" s="110"/>
      <c r="K505" s="188">
        <f t="shared" si="57"/>
        <v>7613</v>
      </c>
      <c r="L505" s="402"/>
      <c r="M505" s="126"/>
      <c r="N505" s="126"/>
      <c r="O505" s="126"/>
      <c r="P505" s="408">
        <v>7613</v>
      </c>
      <c r="Q505" s="126"/>
      <c r="R505" s="126"/>
      <c r="S505" s="126"/>
      <c r="T505" s="124"/>
      <c r="U505" s="126"/>
      <c r="V505" s="126"/>
      <c r="W505" s="126"/>
    </row>
    <row r="506" spans="1:23" s="400" customFormat="1">
      <c r="A506" s="122">
        <v>9</v>
      </c>
      <c r="B506" s="354" t="s">
        <v>34</v>
      </c>
      <c r="C506" s="417" t="s">
        <v>364</v>
      </c>
      <c r="D506" s="188">
        <f t="shared" si="55"/>
        <v>10800</v>
      </c>
      <c r="E506" s="188">
        <f t="shared" si="61"/>
        <v>0</v>
      </c>
      <c r="F506" s="270"/>
      <c r="G506" s="110"/>
      <c r="H506" s="110"/>
      <c r="I506" s="110"/>
      <c r="J506" s="110"/>
      <c r="K506" s="188">
        <f t="shared" si="57"/>
        <v>10800</v>
      </c>
      <c r="L506" s="402"/>
      <c r="M506" s="126"/>
      <c r="N506" s="126"/>
      <c r="O506" s="126"/>
      <c r="P506" s="408">
        <v>10800</v>
      </c>
      <c r="Q506" s="126"/>
      <c r="R506" s="126"/>
      <c r="S506" s="126"/>
      <c r="T506" s="124"/>
      <c r="U506" s="126"/>
      <c r="V506" s="126"/>
      <c r="W506" s="126"/>
    </row>
    <row r="507" spans="1:23" s="400" customFormat="1" ht="33.75">
      <c r="A507" s="122">
        <v>10</v>
      </c>
      <c r="B507" s="354" t="s">
        <v>34</v>
      </c>
      <c r="C507" s="418" t="s">
        <v>222</v>
      </c>
      <c r="D507" s="188">
        <f t="shared" si="55"/>
        <v>2880</v>
      </c>
      <c r="E507" s="188">
        <f t="shared" si="61"/>
        <v>0</v>
      </c>
      <c r="F507" s="110"/>
      <c r="G507" s="110"/>
      <c r="H507" s="110"/>
      <c r="I507" s="110"/>
      <c r="J507" s="110"/>
      <c r="K507" s="188">
        <f t="shared" si="57"/>
        <v>2880</v>
      </c>
      <c r="L507" s="402"/>
      <c r="M507" s="126"/>
      <c r="N507" s="126"/>
      <c r="O507" s="126"/>
      <c r="P507" s="408">
        <v>2880</v>
      </c>
      <c r="Q507" s="126"/>
      <c r="R507" s="126"/>
      <c r="S507" s="126"/>
      <c r="T507" s="124"/>
      <c r="U507" s="126"/>
      <c r="V507" s="126"/>
      <c r="W507" s="126"/>
    </row>
    <row r="508" spans="1:23" s="275" customFormat="1">
      <c r="A508" s="317">
        <v>19</v>
      </c>
      <c r="B508" s="396"/>
      <c r="C508" s="405" t="s">
        <v>241</v>
      </c>
      <c r="D508" s="51">
        <f t="shared" si="55"/>
        <v>4860867</v>
      </c>
      <c r="E508" s="51">
        <f t="shared" si="61"/>
        <v>2946525</v>
      </c>
      <c r="F508" s="96">
        <f>F509+F526+F535+F539</f>
        <v>2023125</v>
      </c>
      <c r="G508" s="96">
        <f t="shared" ref="G508:W508" si="65">G509+G526+G535+G539</f>
        <v>278900</v>
      </c>
      <c r="H508" s="96">
        <f t="shared" si="65"/>
        <v>574500</v>
      </c>
      <c r="I508" s="96">
        <f t="shared" si="65"/>
        <v>70000</v>
      </c>
      <c r="J508" s="96">
        <f t="shared" si="65"/>
        <v>0</v>
      </c>
      <c r="K508" s="51">
        <f t="shared" si="57"/>
        <v>1914342</v>
      </c>
      <c r="L508" s="96">
        <f t="shared" si="65"/>
        <v>285970</v>
      </c>
      <c r="M508" s="96">
        <f t="shared" si="65"/>
        <v>55400</v>
      </c>
      <c r="N508" s="96">
        <f t="shared" si="65"/>
        <v>170340</v>
      </c>
      <c r="O508" s="96">
        <f t="shared" si="65"/>
        <v>38900</v>
      </c>
      <c r="P508" s="96">
        <f t="shared" si="65"/>
        <v>326974</v>
      </c>
      <c r="Q508" s="96">
        <f t="shared" si="65"/>
        <v>136148</v>
      </c>
      <c r="R508" s="96">
        <f t="shared" si="65"/>
        <v>79207</v>
      </c>
      <c r="S508" s="96">
        <f t="shared" si="65"/>
        <v>272898</v>
      </c>
      <c r="T508" s="96">
        <f t="shared" si="65"/>
        <v>215580</v>
      </c>
      <c r="U508" s="96">
        <f t="shared" si="65"/>
        <v>65755</v>
      </c>
      <c r="V508" s="96">
        <f t="shared" si="65"/>
        <v>66470</v>
      </c>
      <c r="W508" s="96">
        <f t="shared" si="65"/>
        <v>200700</v>
      </c>
    </row>
    <row r="509" spans="1:23" s="420" customFormat="1" ht="21">
      <c r="A509" s="353" t="s">
        <v>268</v>
      </c>
      <c r="B509" s="362" t="s">
        <v>34</v>
      </c>
      <c r="C509" s="419" t="s">
        <v>262</v>
      </c>
      <c r="D509" s="100">
        <f t="shared" si="55"/>
        <v>3402032</v>
      </c>
      <c r="E509" s="100">
        <f t="shared" si="61"/>
        <v>2023125</v>
      </c>
      <c r="F509" s="101">
        <f>SUM(F510:F525)</f>
        <v>2023125</v>
      </c>
      <c r="G509" s="101">
        <f t="shared" ref="G509:W509" si="66">SUM(G510:G525)</f>
        <v>0</v>
      </c>
      <c r="H509" s="101">
        <f t="shared" si="66"/>
        <v>0</v>
      </c>
      <c r="I509" s="101">
        <f t="shared" si="66"/>
        <v>0</v>
      </c>
      <c r="J509" s="101">
        <f t="shared" si="66"/>
        <v>0</v>
      </c>
      <c r="K509" s="100">
        <f t="shared" si="57"/>
        <v>1378907</v>
      </c>
      <c r="L509" s="101">
        <f t="shared" si="66"/>
        <v>102090</v>
      </c>
      <c r="M509" s="101">
        <f t="shared" si="66"/>
        <v>13000</v>
      </c>
      <c r="N509" s="101">
        <f t="shared" si="66"/>
        <v>158340</v>
      </c>
      <c r="O509" s="101">
        <f t="shared" si="66"/>
        <v>27900</v>
      </c>
      <c r="P509" s="101">
        <f t="shared" si="66"/>
        <v>274894</v>
      </c>
      <c r="Q509" s="101">
        <f t="shared" si="66"/>
        <v>116948</v>
      </c>
      <c r="R509" s="101">
        <f t="shared" si="66"/>
        <v>34692</v>
      </c>
      <c r="S509" s="101">
        <f t="shared" si="66"/>
        <v>247178</v>
      </c>
      <c r="T509" s="101">
        <f t="shared" si="66"/>
        <v>173060</v>
      </c>
      <c r="U509" s="101">
        <f t="shared" si="66"/>
        <v>55755</v>
      </c>
      <c r="V509" s="101">
        <f t="shared" si="66"/>
        <v>34550</v>
      </c>
      <c r="W509" s="101">
        <f t="shared" si="66"/>
        <v>140500</v>
      </c>
    </row>
    <row r="510" spans="1:23" s="421" customFormat="1" ht="33.75">
      <c r="A510" s="122">
        <v>1</v>
      </c>
      <c r="B510" s="354" t="s">
        <v>34</v>
      </c>
      <c r="C510" s="399" t="s">
        <v>139</v>
      </c>
      <c r="D510" s="188">
        <f t="shared" si="55"/>
        <v>418700</v>
      </c>
      <c r="E510" s="188">
        <f t="shared" si="61"/>
        <v>311000</v>
      </c>
      <c r="F510" s="105">
        <f>71000+50000+100000+36000+80000-26000</f>
        <v>311000</v>
      </c>
      <c r="G510" s="105"/>
      <c r="H510" s="105"/>
      <c r="I510" s="105"/>
      <c r="J510" s="105"/>
      <c r="K510" s="188">
        <f t="shared" si="57"/>
        <v>107700</v>
      </c>
      <c r="L510" s="105"/>
      <c r="M510" s="105">
        <v>1800</v>
      </c>
      <c r="N510" s="105">
        <v>2000</v>
      </c>
      <c r="O510" s="105"/>
      <c r="P510" s="105">
        <v>22320</v>
      </c>
      <c r="Q510" s="105"/>
      <c r="R510" s="105">
        <v>3420</v>
      </c>
      <c r="S510" s="105">
        <v>3000</v>
      </c>
      <c r="T510" s="105">
        <v>36000</v>
      </c>
      <c r="U510" s="105">
        <v>3800</v>
      </c>
      <c r="V510" s="105">
        <v>12960</v>
      </c>
      <c r="W510" s="105">
        <v>22400</v>
      </c>
    </row>
    <row r="511" spans="1:23" s="421" customFormat="1" ht="22.5">
      <c r="A511" s="122">
        <v>2</v>
      </c>
      <c r="B511" s="354" t="s">
        <v>34</v>
      </c>
      <c r="C511" s="399" t="s">
        <v>413</v>
      </c>
      <c r="D511" s="188">
        <f t="shared" si="55"/>
        <v>1199380</v>
      </c>
      <c r="E511" s="188">
        <f t="shared" si="61"/>
        <v>726000</v>
      </c>
      <c r="F511" s="110">
        <f>424000+150000+10000+116000+30000-4000</f>
        <v>726000</v>
      </c>
      <c r="G511" s="110"/>
      <c r="H511" s="110"/>
      <c r="I511" s="110"/>
      <c r="J511" s="110"/>
      <c r="K511" s="188">
        <f t="shared" si="57"/>
        <v>473380</v>
      </c>
      <c r="L511" s="110"/>
      <c r="M511" s="110">
        <v>1200</v>
      </c>
      <c r="N511" s="110">
        <v>63000</v>
      </c>
      <c r="O511" s="110"/>
      <c r="P511" s="110">
        <v>22170</v>
      </c>
      <c r="Q511" s="422">
        <v>108348</v>
      </c>
      <c r="R511" s="110">
        <v>13192</v>
      </c>
      <c r="S511" s="110">
        <v>163670</v>
      </c>
      <c r="T511" s="110">
        <v>40000</v>
      </c>
      <c r="U511" s="110">
        <v>3800</v>
      </c>
      <c r="V511" s="110">
        <v>14000</v>
      </c>
      <c r="W511" s="110">
        <v>44000</v>
      </c>
    </row>
    <row r="512" spans="1:23" s="421" customFormat="1" ht="90">
      <c r="A512" s="122">
        <v>3</v>
      </c>
      <c r="B512" s="354" t="s">
        <v>34</v>
      </c>
      <c r="C512" s="423" t="s">
        <v>414</v>
      </c>
      <c r="D512" s="188">
        <f t="shared" si="55"/>
        <v>8800</v>
      </c>
      <c r="E512" s="188">
        <f t="shared" si="61"/>
        <v>8800</v>
      </c>
      <c r="F512" s="110">
        <v>8800</v>
      </c>
      <c r="G512" s="110"/>
      <c r="H512" s="110"/>
      <c r="I512" s="110"/>
      <c r="J512" s="110"/>
      <c r="K512" s="188">
        <f t="shared" si="57"/>
        <v>0</v>
      </c>
      <c r="L512" s="110"/>
      <c r="M512" s="110"/>
      <c r="N512" s="110"/>
      <c r="O512" s="110"/>
      <c r="P512" s="110"/>
      <c r="Q512" s="110"/>
      <c r="R512" s="110"/>
      <c r="S512" s="110"/>
      <c r="T512" s="110"/>
      <c r="U512" s="110"/>
      <c r="V512" s="110"/>
      <c r="W512" s="110"/>
    </row>
    <row r="513" spans="1:23" s="421" customFormat="1" ht="33.75">
      <c r="A513" s="122">
        <v>4</v>
      </c>
      <c r="B513" s="354" t="s">
        <v>34</v>
      </c>
      <c r="C513" s="424" t="s">
        <v>415</v>
      </c>
      <c r="D513" s="188">
        <f t="shared" si="55"/>
        <v>58960</v>
      </c>
      <c r="E513" s="188">
        <f t="shared" si="61"/>
        <v>50805</v>
      </c>
      <c r="F513" s="110">
        <v>50805</v>
      </c>
      <c r="G513" s="110"/>
      <c r="H513" s="110"/>
      <c r="I513" s="110"/>
      <c r="J513" s="110"/>
      <c r="K513" s="188">
        <f t="shared" si="57"/>
        <v>8155</v>
      </c>
      <c r="L513" s="110"/>
      <c r="M513" s="110"/>
      <c r="N513" s="110"/>
      <c r="O513" s="110"/>
      <c r="P513" s="110"/>
      <c r="Q513" s="110"/>
      <c r="R513" s="110"/>
      <c r="S513" s="110"/>
      <c r="T513" s="110"/>
      <c r="U513" s="110">
        <v>8155</v>
      </c>
      <c r="V513" s="110"/>
      <c r="W513" s="110"/>
    </row>
    <row r="514" spans="1:23" s="421" customFormat="1" ht="22.5">
      <c r="A514" s="122">
        <v>5</v>
      </c>
      <c r="B514" s="354" t="s">
        <v>34</v>
      </c>
      <c r="C514" s="424" t="s">
        <v>416</v>
      </c>
      <c r="D514" s="188">
        <f t="shared" si="55"/>
        <v>201242</v>
      </c>
      <c r="E514" s="188">
        <f t="shared" si="61"/>
        <v>0</v>
      </c>
      <c r="F514" s="110"/>
      <c r="G514" s="110"/>
      <c r="H514" s="110"/>
      <c r="I514" s="110"/>
      <c r="J514" s="110"/>
      <c r="K514" s="188">
        <f t="shared" si="57"/>
        <v>201242</v>
      </c>
      <c r="L514" s="110">
        <v>28840</v>
      </c>
      <c r="M514" s="110">
        <v>5000</v>
      </c>
      <c r="N514" s="110">
        <v>21000</v>
      </c>
      <c r="O514" s="110">
        <v>12900</v>
      </c>
      <c r="P514" s="110">
        <v>30404</v>
      </c>
      <c r="Q514" s="110">
        <v>8600</v>
      </c>
      <c r="R514" s="110">
        <v>11740</v>
      </c>
      <c r="S514" s="110">
        <v>32268</v>
      </c>
      <c r="T514" s="110">
        <v>25560</v>
      </c>
      <c r="U514" s="110">
        <v>7000</v>
      </c>
      <c r="V514" s="110">
        <v>6150</v>
      </c>
      <c r="W514" s="110">
        <v>11780</v>
      </c>
    </row>
    <row r="515" spans="1:23" s="421" customFormat="1" ht="22.5">
      <c r="A515" s="122">
        <v>6</v>
      </c>
      <c r="B515" s="354" t="s">
        <v>34</v>
      </c>
      <c r="C515" s="424" t="s">
        <v>417</v>
      </c>
      <c r="D515" s="188">
        <f t="shared" si="55"/>
        <v>89100</v>
      </c>
      <c r="E515" s="188">
        <f t="shared" si="61"/>
        <v>40000</v>
      </c>
      <c r="F515" s="110">
        <v>40000</v>
      </c>
      <c r="G515" s="110"/>
      <c r="H515" s="110"/>
      <c r="I515" s="110"/>
      <c r="J515" s="110"/>
      <c r="K515" s="188">
        <f t="shared" si="57"/>
        <v>49100</v>
      </c>
      <c r="L515" s="110"/>
      <c r="M515" s="110"/>
      <c r="N515" s="110">
        <v>7040</v>
      </c>
      <c r="O515" s="110"/>
      <c r="P515" s="110"/>
      <c r="Q515" s="110"/>
      <c r="R515" s="110"/>
      <c r="S515" s="110">
        <v>16740</v>
      </c>
      <c r="T515" s="110">
        <v>5000</v>
      </c>
      <c r="U515" s="110">
        <v>8000</v>
      </c>
      <c r="V515" s="110"/>
      <c r="W515" s="110">
        <v>12320</v>
      </c>
    </row>
    <row r="516" spans="1:23" s="421" customFormat="1" ht="33.75">
      <c r="A516" s="122">
        <v>7</v>
      </c>
      <c r="B516" s="354" t="s">
        <v>34</v>
      </c>
      <c r="C516" s="424" t="s">
        <v>418</v>
      </c>
      <c r="D516" s="188">
        <f t="shared" si="55"/>
        <v>60000</v>
      </c>
      <c r="E516" s="188">
        <f t="shared" si="61"/>
        <v>55000</v>
      </c>
      <c r="F516" s="110">
        <v>55000</v>
      </c>
      <c r="G516" s="110"/>
      <c r="H516" s="110"/>
      <c r="I516" s="110"/>
      <c r="J516" s="110"/>
      <c r="K516" s="188">
        <f t="shared" si="57"/>
        <v>5000</v>
      </c>
      <c r="L516" s="110"/>
      <c r="M516" s="110"/>
      <c r="N516" s="110"/>
      <c r="O516" s="110"/>
      <c r="P516" s="110"/>
      <c r="Q516" s="110"/>
      <c r="R516" s="110"/>
      <c r="S516" s="110"/>
      <c r="T516" s="425"/>
      <c r="U516" s="110">
        <v>5000</v>
      </c>
      <c r="V516" s="110"/>
      <c r="W516" s="110"/>
    </row>
    <row r="517" spans="1:23" s="421" customFormat="1" ht="33.75">
      <c r="A517" s="122">
        <v>8</v>
      </c>
      <c r="B517" s="354" t="s">
        <v>34</v>
      </c>
      <c r="C517" s="426" t="s">
        <v>419</v>
      </c>
      <c r="D517" s="188">
        <f t="shared" si="55"/>
        <v>436940</v>
      </c>
      <c r="E517" s="188">
        <f t="shared" si="61"/>
        <v>45000</v>
      </c>
      <c r="F517" s="110">
        <v>45000</v>
      </c>
      <c r="G517" s="110"/>
      <c r="H517" s="110"/>
      <c r="I517" s="110"/>
      <c r="J517" s="110"/>
      <c r="K517" s="188">
        <f t="shared" si="57"/>
        <v>391940</v>
      </c>
      <c r="L517" s="110"/>
      <c r="M517" s="110"/>
      <c r="N517" s="110">
        <v>65300</v>
      </c>
      <c r="O517" s="110">
        <v>15000</v>
      </c>
      <c r="P517" s="110">
        <v>200000</v>
      </c>
      <c r="Q517" s="425"/>
      <c r="R517" s="110">
        <v>6340</v>
      </c>
      <c r="S517" s="110">
        <v>6300</v>
      </c>
      <c r="T517" s="110">
        <v>38000</v>
      </c>
      <c r="U517" s="110">
        <v>11000</v>
      </c>
      <c r="V517" s="110"/>
      <c r="W517" s="110">
        <v>50000</v>
      </c>
    </row>
    <row r="518" spans="1:23" s="421" customFormat="1" ht="22.5">
      <c r="A518" s="122">
        <v>9</v>
      </c>
      <c r="B518" s="354" t="s">
        <v>34</v>
      </c>
      <c r="C518" s="426" t="s">
        <v>420</v>
      </c>
      <c r="D518" s="188">
        <f t="shared" si="55"/>
        <v>92520</v>
      </c>
      <c r="E518" s="188">
        <f t="shared" si="61"/>
        <v>91520</v>
      </c>
      <c r="F518" s="110">
        <v>91520</v>
      </c>
      <c r="G518" s="110"/>
      <c r="H518" s="110"/>
      <c r="I518" s="110"/>
      <c r="J518" s="110"/>
      <c r="K518" s="188">
        <f t="shared" si="57"/>
        <v>1000</v>
      </c>
      <c r="L518" s="110"/>
      <c r="M518" s="110"/>
      <c r="N518" s="110"/>
      <c r="O518" s="110"/>
      <c r="P518" s="110"/>
      <c r="Q518" s="110"/>
      <c r="R518" s="110"/>
      <c r="S518" s="110"/>
      <c r="T518" s="110"/>
      <c r="U518" s="110">
        <v>1000</v>
      </c>
      <c r="V518" s="110"/>
      <c r="W518" s="110"/>
    </row>
    <row r="519" spans="1:23" s="421" customFormat="1" ht="22.5">
      <c r="A519" s="122">
        <v>10</v>
      </c>
      <c r="B519" s="354" t="s">
        <v>34</v>
      </c>
      <c r="C519" s="427" t="s">
        <v>421</v>
      </c>
      <c r="D519" s="188">
        <f t="shared" si="55"/>
        <v>54740</v>
      </c>
      <c r="E519" s="188">
        <f t="shared" si="61"/>
        <v>34000</v>
      </c>
      <c r="F519" s="110">
        <v>34000</v>
      </c>
      <c r="G519" s="110"/>
      <c r="H519" s="110"/>
      <c r="I519" s="110"/>
      <c r="J519" s="110"/>
      <c r="K519" s="188">
        <f t="shared" si="57"/>
        <v>20740</v>
      </c>
      <c r="L519" s="110"/>
      <c r="M519" s="110">
        <v>5000</v>
      </c>
      <c r="N519" s="110"/>
      <c r="O519" s="110"/>
      <c r="P519" s="110"/>
      <c r="Q519" s="110"/>
      <c r="R519" s="110"/>
      <c r="S519" s="110">
        <v>1600</v>
      </c>
      <c r="T519" s="110">
        <v>11700</v>
      </c>
      <c r="U519" s="110">
        <v>1000</v>
      </c>
      <c r="V519" s="110">
        <v>1440</v>
      </c>
      <c r="W519" s="110"/>
    </row>
    <row r="520" spans="1:23" s="421" customFormat="1">
      <c r="A520" s="122">
        <v>11</v>
      </c>
      <c r="B520" s="354" t="s">
        <v>34</v>
      </c>
      <c r="C520" s="427" t="s">
        <v>422</v>
      </c>
      <c r="D520" s="188">
        <f t="shared" si="55"/>
        <v>250000</v>
      </c>
      <c r="E520" s="188">
        <f t="shared" si="61"/>
        <v>250000</v>
      </c>
      <c r="F520" s="110">
        <v>250000</v>
      </c>
      <c r="G520" s="110"/>
      <c r="H520" s="110"/>
      <c r="I520" s="110"/>
      <c r="J520" s="110"/>
      <c r="K520" s="188">
        <f t="shared" si="57"/>
        <v>0</v>
      </c>
      <c r="L520" s="110"/>
      <c r="M520" s="110"/>
      <c r="N520" s="110"/>
      <c r="O520" s="110"/>
      <c r="P520" s="110"/>
      <c r="Q520" s="110"/>
      <c r="R520" s="110"/>
      <c r="S520" s="110"/>
      <c r="T520" s="110"/>
      <c r="U520" s="110"/>
      <c r="V520" s="110"/>
      <c r="W520" s="110"/>
    </row>
    <row r="521" spans="1:23" s="421" customFormat="1">
      <c r="A521" s="122">
        <v>12</v>
      </c>
      <c r="B521" s="354" t="s">
        <v>34</v>
      </c>
      <c r="C521" s="109" t="s">
        <v>423</v>
      </c>
      <c r="D521" s="188">
        <f t="shared" si="55"/>
        <v>411000</v>
      </c>
      <c r="E521" s="188">
        <f t="shared" si="61"/>
        <v>411000</v>
      </c>
      <c r="F521" s="110">
        <v>411000</v>
      </c>
      <c r="G521" s="110"/>
      <c r="H521" s="110"/>
      <c r="I521" s="110"/>
      <c r="J521" s="110"/>
      <c r="K521" s="188">
        <f t="shared" si="57"/>
        <v>0</v>
      </c>
      <c r="L521" s="110"/>
      <c r="M521" s="110"/>
      <c r="N521" s="110"/>
      <c r="O521" s="110"/>
      <c r="P521" s="110"/>
      <c r="Q521" s="110"/>
      <c r="R521" s="110"/>
      <c r="S521" s="110"/>
      <c r="T521" s="110"/>
      <c r="U521" s="110"/>
      <c r="V521" s="110"/>
      <c r="W521" s="110"/>
    </row>
    <row r="522" spans="1:23" s="421" customFormat="1">
      <c r="A522" s="122">
        <v>13</v>
      </c>
      <c r="B522" s="354" t="s">
        <v>34</v>
      </c>
      <c r="C522" s="399" t="s">
        <v>261</v>
      </c>
      <c r="D522" s="188">
        <f t="shared" ref="D522:D569" si="67">E522+K522</f>
        <v>4000</v>
      </c>
      <c r="E522" s="188">
        <f t="shared" si="61"/>
        <v>0</v>
      </c>
      <c r="F522" s="110"/>
      <c r="G522" s="110"/>
      <c r="H522" s="110"/>
      <c r="I522" s="110"/>
      <c r="J522" s="110"/>
      <c r="K522" s="188">
        <f t="shared" ref="K522:K569" si="68">SUM(L522:W522)</f>
        <v>4000</v>
      </c>
      <c r="L522" s="110"/>
      <c r="M522" s="110"/>
      <c r="N522" s="110"/>
      <c r="O522" s="110"/>
      <c r="P522" s="110"/>
      <c r="Q522" s="110"/>
      <c r="R522" s="110"/>
      <c r="S522" s="110"/>
      <c r="T522" s="110"/>
      <c r="U522" s="110">
        <v>4000</v>
      </c>
      <c r="V522" s="110"/>
      <c r="W522" s="110"/>
    </row>
    <row r="523" spans="1:23" s="421" customFormat="1" ht="22.5">
      <c r="A523" s="122">
        <v>14</v>
      </c>
      <c r="B523" s="354" t="s">
        <v>34</v>
      </c>
      <c r="C523" s="399" t="s">
        <v>141</v>
      </c>
      <c r="D523" s="188">
        <f t="shared" si="67"/>
        <v>23940</v>
      </c>
      <c r="E523" s="188">
        <f t="shared" si="61"/>
        <v>0</v>
      </c>
      <c r="F523" s="110"/>
      <c r="G523" s="110"/>
      <c r="H523" s="110"/>
      <c r="I523" s="110"/>
      <c r="J523" s="110"/>
      <c r="K523" s="188">
        <f t="shared" si="68"/>
        <v>23940</v>
      </c>
      <c r="L523" s="110">
        <v>23940</v>
      </c>
      <c r="M523" s="110"/>
      <c r="N523" s="110"/>
      <c r="O523" s="110"/>
      <c r="P523" s="110"/>
      <c r="Q523" s="110"/>
      <c r="R523" s="110"/>
      <c r="S523" s="110"/>
      <c r="T523" s="110"/>
      <c r="U523" s="110"/>
      <c r="V523" s="110"/>
      <c r="W523" s="110"/>
    </row>
    <row r="524" spans="1:23" s="421" customFormat="1">
      <c r="A524" s="122">
        <v>15</v>
      </c>
      <c r="B524" s="354" t="s">
        <v>34</v>
      </c>
      <c r="C524" s="399" t="s">
        <v>142</v>
      </c>
      <c r="D524" s="188">
        <f t="shared" si="67"/>
        <v>92710</v>
      </c>
      <c r="E524" s="188">
        <f t="shared" si="61"/>
        <v>0</v>
      </c>
      <c r="F524" s="425"/>
      <c r="G524" s="110"/>
      <c r="H524" s="110"/>
      <c r="I524" s="110"/>
      <c r="J524" s="110"/>
      <c r="K524" s="188">
        <f t="shared" si="68"/>
        <v>92710</v>
      </c>
      <c r="L524" s="110">
        <v>49310</v>
      </c>
      <c r="M524" s="110"/>
      <c r="N524" s="110"/>
      <c r="O524" s="110"/>
      <c r="P524" s="110"/>
      <c r="Q524" s="110"/>
      <c r="R524" s="110"/>
      <c r="S524" s="110">
        <v>23600</v>
      </c>
      <c r="T524" s="110">
        <v>16800</v>
      </c>
      <c r="U524" s="110">
        <v>3000</v>
      </c>
      <c r="V524" s="110"/>
      <c r="W524" s="110"/>
    </row>
    <row r="525" spans="1:23" s="266" customFormat="1">
      <c r="A525" s="122">
        <v>5</v>
      </c>
      <c r="B525" s="354" t="s">
        <v>34</v>
      </c>
      <c r="C525" s="428" t="s">
        <v>294</v>
      </c>
      <c r="D525" s="188">
        <f t="shared" si="67"/>
        <v>0</v>
      </c>
      <c r="E525" s="188">
        <f t="shared" si="61"/>
        <v>0</v>
      </c>
      <c r="F525" s="110"/>
      <c r="G525" s="110"/>
      <c r="H525" s="110"/>
      <c r="I525" s="110"/>
      <c r="J525" s="110"/>
      <c r="K525" s="188">
        <f t="shared" si="68"/>
        <v>0</v>
      </c>
      <c r="L525" s="107"/>
      <c r="M525" s="107"/>
      <c r="N525" s="107"/>
      <c r="O525" s="107"/>
      <c r="P525" s="107"/>
      <c r="Q525" s="107"/>
      <c r="R525" s="107"/>
      <c r="S525" s="107"/>
      <c r="T525" s="107"/>
      <c r="U525" s="107"/>
      <c r="V525" s="107"/>
      <c r="W525" s="107"/>
    </row>
    <row r="526" spans="1:23" s="429" customFormat="1">
      <c r="A526" s="353" t="s">
        <v>269</v>
      </c>
      <c r="B526" s="362" t="s">
        <v>1</v>
      </c>
      <c r="C526" s="419" t="s">
        <v>263</v>
      </c>
      <c r="D526" s="100">
        <f t="shared" si="67"/>
        <v>628435</v>
      </c>
      <c r="E526" s="100">
        <f t="shared" si="61"/>
        <v>278900</v>
      </c>
      <c r="F526" s="101">
        <f>SUM(F527:F534)</f>
        <v>0</v>
      </c>
      <c r="G526" s="101">
        <f t="shared" ref="G526:W526" si="69">SUM(G527:G534)</f>
        <v>278900</v>
      </c>
      <c r="H526" s="101">
        <f t="shared" si="69"/>
        <v>0</v>
      </c>
      <c r="I526" s="101">
        <f t="shared" si="69"/>
        <v>0</v>
      </c>
      <c r="J526" s="101">
        <f t="shared" si="69"/>
        <v>0</v>
      </c>
      <c r="K526" s="100">
        <f t="shared" si="68"/>
        <v>349535</v>
      </c>
      <c r="L526" s="101">
        <f t="shared" si="69"/>
        <v>148500</v>
      </c>
      <c r="M526" s="101">
        <f t="shared" si="69"/>
        <v>34000</v>
      </c>
      <c r="N526" s="101">
        <f t="shared" si="69"/>
        <v>2000</v>
      </c>
      <c r="O526" s="101">
        <f t="shared" si="69"/>
        <v>0</v>
      </c>
      <c r="P526" s="101">
        <f t="shared" si="69"/>
        <v>5880</v>
      </c>
      <c r="Q526" s="101">
        <f t="shared" si="69"/>
        <v>10000</v>
      </c>
      <c r="R526" s="101">
        <f t="shared" si="69"/>
        <v>32715</v>
      </c>
      <c r="S526" s="101">
        <f t="shared" si="69"/>
        <v>15520</v>
      </c>
      <c r="T526" s="101">
        <f t="shared" si="69"/>
        <v>31720</v>
      </c>
      <c r="U526" s="101">
        <f t="shared" si="69"/>
        <v>0</v>
      </c>
      <c r="V526" s="101">
        <f t="shared" si="69"/>
        <v>19200</v>
      </c>
      <c r="W526" s="101">
        <f t="shared" si="69"/>
        <v>50000</v>
      </c>
    </row>
    <row r="527" spans="1:23" s="266" customFormat="1" ht="22.5">
      <c r="A527" s="354"/>
      <c r="B527" s="354" t="s">
        <v>1</v>
      </c>
      <c r="C527" s="64" t="s">
        <v>558</v>
      </c>
      <c r="D527" s="430">
        <f t="shared" si="67"/>
        <v>628435</v>
      </c>
      <c r="E527" s="430">
        <f t="shared" si="61"/>
        <v>278900</v>
      </c>
      <c r="F527" s="53"/>
      <c r="G527" s="53">
        <v>278900</v>
      </c>
      <c r="H527" s="53"/>
      <c r="I527" s="53"/>
      <c r="J527" s="53"/>
      <c r="K527" s="430">
        <f t="shared" si="68"/>
        <v>349535</v>
      </c>
      <c r="L527" s="55">
        <v>148500</v>
      </c>
      <c r="M527" s="56">
        <v>34000</v>
      </c>
      <c r="N527" s="57">
        <v>2000</v>
      </c>
      <c r="O527" s="58"/>
      <c r="P527" s="59">
        <v>5880</v>
      </c>
      <c r="Q527" s="57">
        <v>10000</v>
      </c>
      <c r="R527" s="57">
        <v>32715</v>
      </c>
      <c r="S527" s="58">
        <v>15520</v>
      </c>
      <c r="T527" s="57">
        <v>31720</v>
      </c>
      <c r="U527" s="58"/>
      <c r="V527" s="58">
        <v>19200</v>
      </c>
      <c r="W527" s="60">
        <v>50000</v>
      </c>
    </row>
    <row r="528" spans="1:23" s="431" customFormat="1" ht="22.5">
      <c r="A528" s="122">
        <v>1</v>
      </c>
      <c r="B528" s="354" t="s">
        <v>1</v>
      </c>
      <c r="C528" s="399" t="s">
        <v>141</v>
      </c>
      <c r="D528" s="430">
        <f t="shared" si="67"/>
        <v>0</v>
      </c>
      <c r="E528" s="430">
        <f t="shared" si="61"/>
        <v>0</v>
      </c>
      <c r="F528" s="110"/>
      <c r="G528" s="110"/>
      <c r="H528" s="110"/>
      <c r="I528" s="110"/>
      <c r="J528" s="110"/>
      <c r="K528" s="430">
        <f t="shared" si="68"/>
        <v>0</v>
      </c>
      <c r="L528" s="110"/>
      <c r="M528" s="110"/>
      <c r="N528" s="110"/>
      <c r="O528" s="110"/>
      <c r="P528" s="110"/>
      <c r="Q528" s="110"/>
      <c r="R528" s="110"/>
      <c r="S528" s="110"/>
      <c r="T528" s="110"/>
      <c r="U528" s="110"/>
      <c r="V528" s="110"/>
      <c r="W528" s="110"/>
    </row>
    <row r="529" spans="1:23" s="431" customFormat="1" ht="22.5">
      <c r="A529" s="122">
        <v>2</v>
      </c>
      <c r="B529" s="354" t="s">
        <v>1</v>
      </c>
      <c r="C529" s="399" t="s">
        <v>29</v>
      </c>
      <c r="D529" s="430">
        <f t="shared" si="67"/>
        <v>0</v>
      </c>
      <c r="E529" s="430">
        <f t="shared" si="61"/>
        <v>0</v>
      </c>
      <c r="F529" s="110"/>
      <c r="G529" s="110"/>
      <c r="H529" s="110"/>
      <c r="I529" s="110"/>
      <c r="J529" s="110"/>
      <c r="K529" s="430">
        <f t="shared" si="68"/>
        <v>0</v>
      </c>
      <c r="L529" s="110"/>
      <c r="M529" s="110"/>
      <c r="N529" s="110"/>
      <c r="O529" s="110"/>
      <c r="P529" s="110"/>
      <c r="Q529" s="110"/>
      <c r="R529" s="110"/>
      <c r="S529" s="110"/>
      <c r="T529" s="110"/>
      <c r="U529" s="110"/>
      <c r="V529" s="110"/>
      <c r="W529" s="110"/>
    </row>
    <row r="530" spans="1:23" s="431" customFormat="1" ht="22.5">
      <c r="A530" s="122">
        <v>3</v>
      </c>
      <c r="B530" s="354" t="s">
        <v>1</v>
      </c>
      <c r="C530" s="399" t="s">
        <v>143</v>
      </c>
      <c r="D530" s="430">
        <f t="shared" si="67"/>
        <v>0</v>
      </c>
      <c r="E530" s="430">
        <f t="shared" si="61"/>
        <v>0</v>
      </c>
      <c r="F530" s="110"/>
      <c r="G530" s="110"/>
      <c r="H530" s="110"/>
      <c r="I530" s="110"/>
      <c r="J530" s="110"/>
      <c r="K530" s="430">
        <f t="shared" si="68"/>
        <v>0</v>
      </c>
      <c r="L530" s="110"/>
      <c r="M530" s="110"/>
      <c r="N530" s="110"/>
      <c r="O530" s="110"/>
      <c r="P530" s="110"/>
      <c r="Q530" s="110"/>
      <c r="R530" s="110"/>
      <c r="S530" s="110"/>
      <c r="T530" s="110"/>
      <c r="U530" s="110"/>
      <c r="V530" s="110"/>
      <c r="W530" s="110"/>
    </row>
    <row r="531" spans="1:23" s="431" customFormat="1" ht="33.75">
      <c r="A531" s="122">
        <v>4</v>
      </c>
      <c r="B531" s="354" t="s">
        <v>1</v>
      </c>
      <c r="C531" s="399" t="s">
        <v>287</v>
      </c>
      <c r="D531" s="430">
        <f t="shared" si="67"/>
        <v>0</v>
      </c>
      <c r="E531" s="430">
        <f t="shared" si="61"/>
        <v>0</v>
      </c>
      <c r="F531" s="110"/>
      <c r="G531" s="110"/>
      <c r="H531" s="110"/>
      <c r="I531" s="110"/>
      <c r="J531" s="110"/>
      <c r="K531" s="430">
        <f t="shared" si="68"/>
        <v>0</v>
      </c>
      <c r="L531" s="110"/>
      <c r="M531" s="110"/>
      <c r="N531" s="110"/>
      <c r="O531" s="110"/>
      <c r="P531" s="110"/>
      <c r="Q531" s="110"/>
      <c r="R531" s="110"/>
      <c r="S531" s="110"/>
      <c r="T531" s="110"/>
      <c r="U531" s="110"/>
      <c r="V531" s="110"/>
      <c r="W531" s="110"/>
    </row>
    <row r="532" spans="1:23" s="431" customFormat="1" ht="33.75">
      <c r="A532" s="122">
        <v>5</v>
      </c>
      <c r="B532" s="354" t="s">
        <v>1</v>
      </c>
      <c r="C532" s="399" t="s">
        <v>144</v>
      </c>
      <c r="D532" s="430">
        <f t="shared" si="67"/>
        <v>0</v>
      </c>
      <c r="E532" s="430">
        <f t="shared" si="61"/>
        <v>0</v>
      </c>
      <c r="F532" s="110"/>
      <c r="G532" s="110"/>
      <c r="H532" s="110"/>
      <c r="I532" s="110"/>
      <c r="J532" s="110"/>
      <c r="K532" s="430">
        <f t="shared" si="68"/>
        <v>0</v>
      </c>
      <c r="L532" s="110"/>
      <c r="M532" s="110"/>
      <c r="N532" s="110"/>
      <c r="O532" s="110"/>
      <c r="P532" s="110"/>
      <c r="Q532" s="110"/>
      <c r="R532" s="110"/>
      <c r="S532" s="110"/>
      <c r="T532" s="110"/>
      <c r="U532" s="110"/>
      <c r="V532" s="110"/>
      <c r="W532" s="110"/>
    </row>
    <row r="533" spans="1:23" s="431" customFormat="1" ht="22.5">
      <c r="A533" s="122">
        <v>6</v>
      </c>
      <c r="B533" s="354" t="s">
        <v>1</v>
      </c>
      <c r="C533" s="399" t="s">
        <v>145</v>
      </c>
      <c r="D533" s="430">
        <f t="shared" si="67"/>
        <v>0</v>
      </c>
      <c r="E533" s="430">
        <f t="shared" si="61"/>
        <v>0</v>
      </c>
      <c r="F533" s="110"/>
      <c r="G533" s="110"/>
      <c r="H533" s="110"/>
      <c r="I533" s="110"/>
      <c r="J533" s="110"/>
      <c r="K533" s="430">
        <f t="shared" si="68"/>
        <v>0</v>
      </c>
      <c r="L533" s="110"/>
      <c r="M533" s="110"/>
      <c r="N533" s="110"/>
      <c r="O533" s="110"/>
      <c r="P533" s="110"/>
      <c r="Q533" s="110"/>
      <c r="R533" s="110"/>
      <c r="S533" s="110"/>
      <c r="T533" s="110"/>
      <c r="U533" s="110"/>
      <c r="V533" s="110"/>
      <c r="W533" s="110"/>
    </row>
    <row r="534" spans="1:23" s="431" customFormat="1" ht="22.5">
      <c r="A534" s="122">
        <v>9</v>
      </c>
      <c r="B534" s="354" t="s">
        <v>1</v>
      </c>
      <c r="C534" s="399" t="s">
        <v>146</v>
      </c>
      <c r="D534" s="430">
        <f t="shared" si="67"/>
        <v>0</v>
      </c>
      <c r="E534" s="430">
        <f t="shared" si="61"/>
        <v>0</v>
      </c>
      <c r="F534" s="110"/>
      <c r="G534" s="110"/>
      <c r="H534" s="110"/>
      <c r="I534" s="110"/>
      <c r="J534" s="110"/>
      <c r="K534" s="430">
        <f t="shared" si="68"/>
        <v>0</v>
      </c>
      <c r="L534" s="110"/>
      <c r="M534" s="110"/>
      <c r="N534" s="110"/>
      <c r="O534" s="110"/>
      <c r="P534" s="110"/>
      <c r="Q534" s="110"/>
      <c r="R534" s="110"/>
      <c r="S534" s="110"/>
      <c r="T534" s="110"/>
      <c r="U534" s="110"/>
      <c r="V534" s="110"/>
      <c r="W534" s="110"/>
    </row>
    <row r="535" spans="1:23" s="3" customFormat="1" ht="21">
      <c r="A535" s="353" t="s">
        <v>270</v>
      </c>
      <c r="B535" s="362" t="s">
        <v>2</v>
      </c>
      <c r="C535" s="419" t="s">
        <v>264</v>
      </c>
      <c r="D535" s="100">
        <f t="shared" si="67"/>
        <v>760400</v>
      </c>
      <c r="E535" s="100">
        <f t="shared" si="61"/>
        <v>574500</v>
      </c>
      <c r="F535" s="101">
        <f t="shared" ref="F535:W535" si="70">SUM(F536:F538)</f>
        <v>0</v>
      </c>
      <c r="G535" s="101">
        <f t="shared" si="70"/>
        <v>0</v>
      </c>
      <c r="H535" s="101">
        <f t="shared" si="70"/>
        <v>574500</v>
      </c>
      <c r="I535" s="101">
        <f t="shared" si="70"/>
        <v>0</v>
      </c>
      <c r="J535" s="101">
        <f t="shared" si="70"/>
        <v>0</v>
      </c>
      <c r="K535" s="100">
        <f t="shared" si="68"/>
        <v>185900</v>
      </c>
      <c r="L535" s="101">
        <f t="shared" si="70"/>
        <v>35380</v>
      </c>
      <c r="M535" s="101">
        <f t="shared" si="70"/>
        <v>8400</v>
      </c>
      <c r="N535" s="101">
        <f t="shared" si="70"/>
        <v>10000</v>
      </c>
      <c r="O535" s="101">
        <f t="shared" si="70"/>
        <v>11000</v>
      </c>
      <c r="P535" s="101">
        <f t="shared" si="70"/>
        <v>46200</v>
      </c>
      <c r="Q535" s="101">
        <f t="shared" si="70"/>
        <v>9200</v>
      </c>
      <c r="R535" s="101">
        <f t="shared" si="70"/>
        <v>11800</v>
      </c>
      <c r="S535" s="101">
        <f t="shared" si="70"/>
        <v>10200</v>
      </c>
      <c r="T535" s="101">
        <f t="shared" si="70"/>
        <v>10800</v>
      </c>
      <c r="U535" s="101">
        <f t="shared" si="70"/>
        <v>10000</v>
      </c>
      <c r="V535" s="101">
        <f t="shared" si="70"/>
        <v>12720</v>
      </c>
      <c r="W535" s="101">
        <f t="shared" si="70"/>
        <v>10200</v>
      </c>
    </row>
    <row r="536" spans="1:23" s="266" customFormat="1" ht="33.75">
      <c r="A536" s="534">
        <v>1</v>
      </c>
      <c r="B536" s="354" t="s">
        <v>2</v>
      </c>
      <c r="C536" s="535" t="s">
        <v>138</v>
      </c>
      <c r="D536" s="430">
        <f t="shared" si="67"/>
        <v>159000</v>
      </c>
      <c r="E536" s="430">
        <f t="shared" si="61"/>
        <v>159000</v>
      </c>
      <c r="F536" s="432"/>
      <c r="G536" s="432"/>
      <c r="H536" s="432">
        <v>159000</v>
      </c>
      <c r="I536" s="432"/>
      <c r="J536" s="432"/>
      <c r="K536" s="430">
        <f t="shared" si="68"/>
        <v>0</v>
      </c>
      <c r="L536" s="433"/>
      <c r="M536" s="433"/>
      <c r="N536" s="433"/>
      <c r="O536" s="433"/>
      <c r="P536" s="433"/>
      <c r="Q536" s="433"/>
      <c r="R536" s="433"/>
      <c r="S536" s="433"/>
      <c r="T536" s="433"/>
      <c r="U536" s="433"/>
      <c r="V536" s="433"/>
      <c r="W536" s="433"/>
    </row>
    <row r="537" spans="1:23" s="266" customFormat="1" ht="33.75">
      <c r="A537" s="534">
        <v>2</v>
      </c>
      <c r="B537" s="354" t="s">
        <v>2</v>
      </c>
      <c r="C537" s="536" t="s">
        <v>139</v>
      </c>
      <c r="D537" s="430">
        <f t="shared" si="67"/>
        <v>335900</v>
      </c>
      <c r="E537" s="430">
        <f t="shared" si="61"/>
        <v>265200</v>
      </c>
      <c r="F537" s="432"/>
      <c r="G537" s="432"/>
      <c r="H537" s="432">
        <v>265200</v>
      </c>
      <c r="I537" s="432"/>
      <c r="J537" s="432"/>
      <c r="K537" s="430">
        <f t="shared" si="68"/>
        <v>70700</v>
      </c>
      <c r="L537" s="537">
        <f>6200+3980</f>
        <v>10180</v>
      </c>
      <c r="M537" s="537">
        <v>3400</v>
      </c>
      <c r="N537" s="537">
        <v>5000</v>
      </c>
      <c r="O537" s="537">
        <v>6000</v>
      </c>
      <c r="P537" s="537">
        <v>6200</v>
      </c>
      <c r="Q537" s="537">
        <v>4200</v>
      </c>
      <c r="R537" s="537">
        <v>6800</v>
      </c>
      <c r="S537" s="537">
        <v>5200</v>
      </c>
      <c r="T537" s="537">
        <v>5800</v>
      </c>
      <c r="U537" s="537">
        <v>5000</v>
      </c>
      <c r="V537" s="537">
        <f>5200+2520</f>
        <v>7720</v>
      </c>
      <c r="W537" s="537">
        <v>5200</v>
      </c>
    </row>
    <row r="538" spans="1:23" s="266" customFormat="1" ht="22.5">
      <c r="A538" s="534">
        <v>3</v>
      </c>
      <c r="B538" s="354" t="s">
        <v>2</v>
      </c>
      <c r="C538" s="535" t="s">
        <v>140</v>
      </c>
      <c r="D538" s="430">
        <f t="shared" si="67"/>
        <v>265500</v>
      </c>
      <c r="E538" s="430">
        <f t="shared" si="61"/>
        <v>150300</v>
      </c>
      <c r="F538" s="432"/>
      <c r="G538" s="432"/>
      <c r="H538" s="432">
        <v>150300</v>
      </c>
      <c r="I538" s="432"/>
      <c r="J538" s="432"/>
      <c r="K538" s="430">
        <f t="shared" si="68"/>
        <v>115200</v>
      </c>
      <c r="L538" s="537">
        <f>5000+20200</f>
        <v>25200</v>
      </c>
      <c r="M538" s="537">
        <v>5000</v>
      </c>
      <c r="N538" s="537">
        <v>5000</v>
      </c>
      <c r="O538" s="537">
        <v>5000</v>
      </c>
      <c r="P538" s="537">
        <f>5000+35000</f>
        <v>40000</v>
      </c>
      <c r="Q538" s="537">
        <v>5000</v>
      </c>
      <c r="R538" s="537">
        <v>5000</v>
      </c>
      <c r="S538" s="537">
        <v>5000</v>
      </c>
      <c r="T538" s="537">
        <v>5000</v>
      </c>
      <c r="U538" s="537">
        <v>5000</v>
      </c>
      <c r="V538" s="537">
        <v>5000</v>
      </c>
      <c r="W538" s="537">
        <v>5000</v>
      </c>
    </row>
    <row r="539" spans="1:23" s="429" customFormat="1" ht="33.75">
      <c r="A539" s="434" t="s">
        <v>271</v>
      </c>
      <c r="B539" s="435" t="s">
        <v>582</v>
      </c>
      <c r="C539" s="436" t="s">
        <v>280</v>
      </c>
      <c r="D539" s="100">
        <f t="shared" si="67"/>
        <v>70000</v>
      </c>
      <c r="E539" s="100">
        <f t="shared" ref="E539:E569" si="71">SUM(F539:J539)</f>
        <v>70000</v>
      </c>
      <c r="F539" s="437">
        <f>SUM(F540:F541)</f>
        <v>0</v>
      </c>
      <c r="G539" s="437">
        <f t="shared" ref="G539:W539" si="72">SUM(G540:G541)</f>
        <v>0</v>
      </c>
      <c r="H539" s="437">
        <f t="shared" si="72"/>
        <v>0</v>
      </c>
      <c r="I539" s="437">
        <f t="shared" si="72"/>
        <v>70000</v>
      </c>
      <c r="J539" s="437">
        <f t="shared" si="72"/>
        <v>0</v>
      </c>
      <c r="K539" s="100">
        <f t="shared" si="68"/>
        <v>0</v>
      </c>
      <c r="L539" s="437">
        <f t="shared" si="72"/>
        <v>0</v>
      </c>
      <c r="M539" s="437">
        <f t="shared" si="72"/>
        <v>0</v>
      </c>
      <c r="N539" s="437">
        <f t="shared" si="72"/>
        <v>0</v>
      </c>
      <c r="O539" s="437">
        <f t="shared" si="72"/>
        <v>0</v>
      </c>
      <c r="P539" s="437">
        <f t="shared" si="72"/>
        <v>0</v>
      </c>
      <c r="Q539" s="437">
        <f t="shared" si="72"/>
        <v>0</v>
      </c>
      <c r="R539" s="437">
        <f t="shared" si="72"/>
        <v>0</v>
      </c>
      <c r="S539" s="437">
        <f t="shared" si="72"/>
        <v>0</v>
      </c>
      <c r="T539" s="437">
        <f t="shared" si="72"/>
        <v>0</v>
      </c>
      <c r="U539" s="437">
        <f t="shared" si="72"/>
        <v>0</v>
      </c>
      <c r="V539" s="437">
        <f t="shared" si="72"/>
        <v>0</v>
      </c>
      <c r="W539" s="437">
        <f t="shared" si="72"/>
        <v>0</v>
      </c>
    </row>
    <row r="540" spans="1:23" s="266" customFormat="1">
      <c r="A540" s="48">
        <v>1</v>
      </c>
      <c r="B540" s="438" t="s">
        <v>582</v>
      </c>
      <c r="C540" s="439" t="s">
        <v>288</v>
      </c>
      <c r="D540" s="430">
        <f t="shared" si="67"/>
        <v>40000</v>
      </c>
      <c r="E540" s="430">
        <f t="shared" si="71"/>
        <v>40000</v>
      </c>
      <c r="F540" s="315"/>
      <c r="G540" s="315"/>
      <c r="H540" s="315"/>
      <c r="I540" s="440">
        <v>40000</v>
      </c>
      <c r="J540" s="315"/>
      <c r="K540" s="430">
        <f t="shared" si="68"/>
        <v>0</v>
      </c>
      <c r="L540" s="315"/>
      <c r="M540" s="315"/>
      <c r="N540" s="315"/>
      <c r="O540" s="315"/>
      <c r="P540" s="315"/>
      <c r="Q540" s="315"/>
      <c r="R540" s="315"/>
      <c r="S540" s="315"/>
      <c r="T540" s="315"/>
      <c r="U540" s="315"/>
      <c r="V540" s="315"/>
      <c r="W540" s="315"/>
    </row>
    <row r="541" spans="1:23" s="266" customFormat="1">
      <c r="A541" s="48">
        <v>2</v>
      </c>
      <c r="B541" s="438" t="s">
        <v>582</v>
      </c>
      <c r="C541" s="439" t="s">
        <v>226</v>
      </c>
      <c r="D541" s="430">
        <f t="shared" si="67"/>
        <v>30000</v>
      </c>
      <c r="E541" s="430">
        <f t="shared" si="71"/>
        <v>30000</v>
      </c>
      <c r="F541" s="315"/>
      <c r="G541" s="315"/>
      <c r="H541" s="315"/>
      <c r="I541" s="315">
        <v>30000</v>
      </c>
      <c r="J541" s="315"/>
      <c r="K541" s="430">
        <f t="shared" si="68"/>
        <v>0</v>
      </c>
      <c r="L541" s="315"/>
      <c r="M541" s="315"/>
      <c r="N541" s="315"/>
      <c r="O541" s="315"/>
      <c r="P541" s="315"/>
      <c r="Q541" s="315"/>
      <c r="R541" s="315"/>
      <c r="S541" s="315"/>
      <c r="T541" s="315"/>
      <c r="U541" s="315"/>
      <c r="V541" s="315"/>
      <c r="W541" s="315"/>
    </row>
    <row r="542" spans="1:23" s="35" customFormat="1" ht="21">
      <c r="A542" s="95">
        <v>20</v>
      </c>
      <c r="B542" s="538"/>
      <c r="C542" s="129" t="s">
        <v>242</v>
      </c>
      <c r="D542" s="130">
        <f t="shared" si="67"/>
        <v>91158</v>
      </c>
      <c r="E542" s="130">
        <f t="shared" si="71"/>
        <v>50000</v>
      </c>
      <c r="F542" s="539">
        <f>F543+F545+F551+F554</f>
        <v>50000</v>
      </c>
      <c r="G542" s="539">
        <f>SUM(G544:G544)</f>
        <v>0</v>
      </c>
      <c r="H542" s="539">
        <f>SUM(H544:H544)</f>
        <v>0</v>
      </c>
      <c r="I542" s="539">
        <f>SUM(I544:I544)</f>
        <v>0</v>
      </c>
      <c r="J542" s="539">
        <f>SUM(J544:J544)</f>
        <v>0</v>
      </c>
      <c r="K542" s="130">
        <f t="shared" si="68"/>
        <v>41158</v>
      </c>
      <c r="L542" s="539">
        <f t="shared" ref="L542:W542" si="73">SUM(L544:L544)</f>
        <v>3840</v>
      </c>
      <c r="M542" s="539">
        <f t="shared" si="73"/>
        <v>0</v>
      </c>
      <c r="N542" s="539">
        <f t="shared" si="73"/>
        <v>1600</v>
      </c>
      <c r="O542" s="539">
        <f t="shared" si="73"/>
        <v>2400</v>
      </c>
      <c r="P542" s="539">
        <f t="shared" si="73"/>
        <v>6736</v>
      </c>
      <c r="Q542" s="539">
        <f t="shared" si="73"/>
        <v>1280</v>
      </c>
      <c r="R542" s="539">
        <f t="shared" si="73"/>
        <v>1520</v>
      </c>
      <c r="S542" s="539">
        <f t="shared" si="73"/>
        <v>0</v>
      </c>
      <c r="T542" s="539">
        <f t="shared" si="73"/>
        <v>10392</v>
      </c>
      <c r="U542" s="539">
        <f t="shared" si="73"/>
        <v>8000</v>
      </c>
      <c r="V542" s="539">
        <f t="shared" si="73"/>
        <v>0</v>
      </c>
      <c r="W542" s="539">
        <f t="shared" si="73"/>
        <v>5390</v>
      </c>
    </row>
    <row r="543" spans="1:23" s="3" customFormat="1" ht="21">
      <c r="A543" s="441" t="s">
        <v>281</v>
      </c>
      <c r="B543" s="442" t="s">
        <v>34</v>
      </c>
      <c r="C543" s="419" t="s">
        <v>265</v>
      </c>
      <c r="D543" s="100">
        <f t="shared" si="67"/>
        <v>91158</v>
      </c>
      <c r="E543" s="100">
        <f t="shared" si="71"/>
        <v>50000</v>
      </c>
      <c r="F543" s="101">
        <f>SUM(F544:F544)</f>
        <v>50000</v>
      </c>
      <c r="G543" s="101">
        <f>SUM(G544:G544)</f>
        <v>0</v>
      </c>
      <c r="H543" s="101">
        <f>SUM(H544:H544)</f>
        <v>0</v>
      </c>
      <c r="I543" s="101">
        <f>SUM(I544:I544)</f>
        <v>0</v>
      </c>
      <c r="J543" s="101">
        <f>SUM(J544:J544)</f>
        <v>0</v>
      </c>
      <c r="K543" s="100">
        <f t="shared" si="68"/>
        <v>41158</v>
      </c>
      <c r="L543" s="101">
        <f t="shared" ref="L543:W543" si="74">SUM(L544:L544)</f>
        <v>3840</v>
      </c>
      <c r="M543" s="101">
        <f t="shared" si="74"/>
        <v>0</v>
      </c>
      <c r="N543" s="101">
        <f t="shared" si="74"/>
        <v>1600</v>
      </c>
      <c r="O543" s="101">
        <f t="shared" si="74"/>
        <v>2400</v>
      </c>
      <c r="P543" s="101">
        <f t="shared" si="74"/>
        <v>6736</v>
      </c>
      <c r="Q543" s="101">
        <f t="shared" si="74"/>
        <v>1280</v>
      </c>
      <c r="R543" s="101">
        <f t="shared" si="74"/>
        <v>1520</v>
      </c>
      <c r="S543" s="101">
        <f t="shared" si="74"/>
        <v>0</v>
      </c>
      <c r="T543" s="101">
        <f t="shared" si="74"/>
        <v>10392</v>
      </c>
      <c r="U543" s="101">
        <f t="shared" si="74"/>
        <v>8000</v>
      </c>
      <c r="V543" s="101">
        <f t="shared" si="74"/>
        <v>0</v>
      </c>
      <c r="W543" s="101">
        <f t="shared" si="74"/>
        <v>5390</v>
      </c>
    </row>
    <row r="544" spans="1:23" s="444" customFormat="1" ht="22.5">
      <c r="A544" s="196">
        <v>1</v>
      </c>
      <c r="B544" s="443" t="s">
        <v>34</v>
      </c>
      <c r="C544" s="399" t="s">
        <v>424</v>
      </c>
      <c r="D544" s="430">
        <f t="shared" si="67"/>
        <v>91158</v>
      </c>
      <c r="E544" s="430">
        <f t="shared" si="71"/>
        <v>50000</v>
      </c>
      <c r="F544" s="105">
        <v>50000</v>
      </c>
      <c r="G544" s="105"/>
      <c r="H544" s="105"/>
      <c r="I544" s="105"/>
      <c r="J544" s="105"/>
      <c r="K544" s="430">
        <f t="shared" si="68"/>
        <v>41158</v>
      </c>
      <c r="L544" s="105">
        <v>3840</v>
      </c>
      <c r="M544" s="105"/>
      <c r="N544" s="105">
        <v>1600</v>
      </c>
      <c r="O544" s="105">
        <v>2400</v>
      </c>
      <c r="P544" s="105">
        <v>6736</v>
      </c>
      <c r="Q544" s="105">
        <v>1280</v>
      </c>
      <c r="R544" s="105">
        <v>1520</v>
      </c>
      <c r="S544" s="105"/>
      <c r="T544" s="105">
        <v>10392</v>
      </c>
      <c r="U544" s="105">
        <v>8000</v>
      </c>
      <c r="V544" s="105"/>
      <c r="W544" s="105">
        <v>5390</v>
      </c>
    </row>
    <row r="545" spans="1:23" s="3" customFormat="1" ht="21">
      <c r="A545" s="445" t="s">
        <v>282</v>
      </c>
      <c r="B545" s="446" t="s">
        <v>1</v>
      </c>
      <c r="C545" s="419" t="s">
        <v>266</v>
      </c>
      <c r="D545" s="100">
        <f t="shared" si="67"/>
        <v>1538731</v>
      </c>
      <c r="E545" s="100">
        <f t="shared" si="71"/>
        <v>1028240</v>
      </c>
      <c r="F545" s="101">
        <f>SUM(F546:F550)</f>
        <v>0</v>
      </c>
      <c r="G545" s="101">
        <f t="shared" ref="G545:W545" si="75">SUM(G546:G550)</f>
        <v>1028240</v>
      </c>
      <c r="H545" s="101">
        <f t="shared" si="75"/>
        <v>0</v>
      </c>
      <c r="I545" s="101">
        <f t="shared" si="75"/>
        <v>0</v>
      </c>
      <c r="J545" s="101">
        <f t="shared" si="75"/>
        <v>0</v>
      </c>
      <c r="K545" s="100">
        <f t="shared" si="68"/>
        <v>510491</v>
      </c>
      <c r="L545" s="101">
        <f t="shared" si="75"/>
        <v>173853</v>
      </c>
      <c r="M545" s="101">
        <f t="shared" si="75"/>
        <v>92000</v>
      </c>
      <c r="N545" s="101">
        <f t="shared" si="75"/>
        <v>0</v>
      </c>
      <c r="O545" s="101">
        <f t="shared" si="75"/>
        <v>22320</v>
      </c>
      <c r="P545" s="101">
        <f t="shared" si="75"/>
        <v>49358</v>
      </c>
      <c r="Q545" s="101">
        <f t="shared" si="75"/>
        <v>20000</v>
      </c>
      <c r="R545" s="101">
        <f t="shared" si="75"/>
        <v>3040</v>
      </c>
      <c r="S545" s="101">
        <f t="shared" si="75"/>
        <v>47400</v>
      </c>
      <c r="T545" s="101">
        <f t="shared" si="75"/>
        <v>0</v>
      </c>
      <c r="U545" s="101">
        <f t="shared" si="75"/>
        <v>0</v>
      </c>
      <c r="V545" s="101">
        <f t="shared" si="75"/>
        <v>27520</v>
      </c>
      <c r="W545" s="101">
        <f t="shared" si="75"/>
        <v>75000</v>
      </c>
    </row>
    <row r="546" spans="1:23" s="1" customFormat="1" ht="22.5">
      <c r="A546" s="48">
        <v>1</v>
      </c>
      <c r="B546" s="307" t="s">
        <v>1</v>
      </c>
      <c r="C546" s="50" t="s">
        <v>544</v>
      </c>
      <c r="D546" s="430">
        <f t="shared" si="67"/>
        <v>284980</v>
      </c>
      <c r="E546" s="430">
        <f t="shared" si="71"/>
        <v>167200</v>
      </c>
      <c r="F546" s="53"/>
      <c r="G546" s="53">
        <v>167200</v>
      </c>
      <c r="H546" s="53"/>
      <c r="I546" s="53"/>
      <c r="J546" s="53"/>
      <c r="K546" s="430">
        <f t="shared" si="68"/>
        <v>117780</v>
      </c>
      <c r="L546" s="53"/>
      <c r="M546" s="53">
        <v>30000</v>
      </c>
      <c r="N546" s="53"/>
      <c r="O546" s="53"/>
      <c r="P546" s="53">
        <v>2180</v>
      </c>
      <c r="Q546" s="53">
        <v>20000</v>
      </c>
      <c r="R546" s="53"/>
      <c r="S546" s="53"/>
      <c r="T546" s="53"/>
      <c r="U546" s="53"/>
      <c r="V546" s="53">
        <v>25600</v>
      </c>
      <c r="W546" s="53">
        <v>40000</v>
      </c>
    </row>
    <row r="547" spans="1:23" s="1" customFormat="1" ht="22.5">
      <c r="A547" s="48">
        <v>2</v>
      </c>
      <c r="B547" s="307" t="s">
        <v>1</v>
      </c>
      <c r="C547" s="50" t="s">
        <v>545</v>
      </c>
      <c r="D547" s="430">
        <f t="shared" si="67"/>
        <v>653675</v>
      </c>
      <c r="E547" s="430">
        <f t="shared" si="71"/>
        <v>350800</v>
      </c>
      <c r="F547" s="53"/>
      <c r="G547" s="53">
        <v>350800</v>
      </c>
      <c r="H547" s="53"/>
      <c r="I547" s="53"/>
      <c r="J547" s="53"/>
      <c r="K547" s="430">
        <f t="shared" si="68"/>
        <v>302875</v>
      </c>
      <c r="L547" s="53">
        <f>53680+106020+14153</f>
        <v>173853</v>
      </c>
      <c r="M547" s="53">
        <v>30000</v>
      </c>
      <c r="N547" s="53"/>
      <c r="O547" s="53"/>
      <c r="P547" s="53">
        <v>40582</v>
      </c>
      <c r="Q547" s="53"/>
      <c r="R547" s="53">
        <v>3040</v>
      </c>
      <c r="S547" s="53">
        <v>45400</v>
      </c>
      <c r="T547" s="53"/>
      <c r="U547" s="53"/>
      <c r="V547" s="53"/>
      <c r="W547" s="53">
        <v>10000</v>
      </c>
    </row>
    <row r="548" spans="1:23" s="1" customFormat="1">
      <c r="A548" s="48">
        <v>3</v>
      </c>
      <c r="B548" s="307" t="s">
        <v>1</v>
      </c>
      <c r="C548" s="50" t="s">
        <v>546</v>
      </c>
      <c r="D548" s="430">
        <f t="shared" si="67"/>
        <v>63240</v>
      </c>
      <c r="E548" s="430">
        <f t="shared" si="71"/>
        <v>61240</v>
      </c>
      <c r="F548" s="53"/>
      <c r="G548" s="53">
        <v>61240</v>
      </c>
      <c r="H548" s="53"/>
      <c r="I548" s="53"/>
      <c r="J548" s="53"/>
      <c r="K548" s="430">
        <f t="shared" si="68"/>
        <v>2000</v>
      </c>
      <c r="L548" s="53"/>
      <c r="M548" s="53">
        <v>2000</v>
      </c>
      <c r="N548" s="53"/>
      <c r="O548" s="53"/>
      <c r="P548" s="53"/>
      <c r="Q548" s="53"/>
      <c r="R548" s="53"/>
      <c r="S548" s="53"/>
      <c r="T548" s="53"/>
      <c r="U548" s="53"/>
      <c r="V548" s="53"/>
      <c r="W548" s="53"/>
    </row>
    <row r="549" spans="1:23" s="1" customFormat="1" ht="22.5">
      <c r="A549" s="48">
        <v>4</v>
      </c>
      <c r="B549" s="307" t="s">
        <v>1</v>
      </c>
      <c r="C549" s="50" t="s">
        <v>547</v>
      </c>
      <c r="D549" s="430">
        <f t="shared" si="67"/>
        <v>451460</v>
      </c>
      <c r="E549" s="430">
        <f t="shared" si="71"/>
        <v>425000</v>
      </c>
      <c r="F549" s="53"/>
      <c r="G549" s="53">
        <v>425000</v>
      </c>
      <c r="H549" s="53"/>
      <c r="I549" s="53"/>
      <c r="J549" s="53"/>
      <c r="K549" s="430">
        <f t="shared" si="68"/>
        <v>26460</v>
      </c>
      <c r="L549" s="53"/>
      <c r="M549" s="53">
        <v>5000</v>
      </c>
      <c r="N549" s="53"/>
      <c r="O549" s="53"/>
      <c r="P549" s="53">
        <v>500</v>
      </c>
      <c r="Q549" s="53"/>
      <c r="R549" s="53"/>
      <c r="S549" s="53"/>
      <c r="T549" s="53"/>
      <c r="U549" s="53"/>
      <c r="V549" s="53">
        <v>960</v>
      </c>
      <c r="W549" s="53">
        <v>20000</v>
      </c>
    </row>
    <row r="550" spans="1:23" s="1" customFormat="1">
      <c r="A550" s="48">
        <v>5</v>
      </c>
      <c r="B550" s="307" t="s">
        <v>1</v>
      </c>
      <c r="C550" s="50" t="s">
        <v>548</v>
      </c>
      <c r="D550" s="430">
        <f t="shared" si="67"/>
        <v>85376</v>
      </c>
      <c r="E550" s="430">
        <f t="shared" si="71"/>
        <v>24000</v>
      </c>
      <c r="F550" s="53"/>
      <c r="G550" s="53">
        <v>24000</v>
      </c>
      <c r="H550" s="53"/>
      <c r="I550" s="53"/>
      <c r="J550" s="53"/>
      <c r="K550" s="430">
        <f t="shared" si="68"/>
        <v>61376</v>
      </c>
      <c r="L550" s="53"/>
      <c r="M550" s="53">
        <v>25000</v>
      </c>
      <c r="N550" s="53"/>
      <c r="O550" s="53">
        <v>22320</v>
      </c>
      <c r="P550" s="53">
        <v>6096</v>
      </c>
      <c r="Q550" s="53"/>
      <c r="R550" s="53"/>
      <c r="S550" s="53">
        <v>2000</v>
      </c>
      <c r="T550" s="53"/>
      <c r="U550" s="53"/>
      <c r="V550" s="53">
        <v>960</v>
      </c>
      <c r="W550" s="53">
        <v>5000</v>
      </c>
    </row>
    <row r="551" spans="1:23" s="429" customFormat="1" ht="22.5">
      <c r="A551" s="447" t="s">
        <v>283</v>
      </c>
      <c r="B551" s="448" t="s">
        <v>2</v>
      </c>
      <c r="C551" s="436" t="s">
        <v>267</v>
      </c>
      <c r="D551" s="100">
        <f t="shared" si="67"/>
        <v>452298</v>
      </c>
      <c r="E551" s="100">
        <f t="shared" si="71"/>
        <v>269740</v>
      </c>
      <c r="F551" s="437">
        <f>SUM(F552:F553)</f>
        <v>0</v>
      </c>
      <c r="G551" s="437">
        <f t="shared" ref="G551:W551" si="76">SUM(G552:G553)</f>
        <v>0</v>
      </c>
      <c r="H551" s="437">
        <f t="shared" si="76"/>
        <v>92540</v>
      </c>
      <c r="I551" s="437">
        <f t="shared" si="76"/>
        <v>0</v>
      </c>
      <c r="J551" s="437">
        <f t="shared" si="76"/>
        <v>177200</v>
      </c>
      <c r="K551" s="100">
        <f t="shared" si="68"/>
        <v>182558</v>
      </c>
      <c r="L551" s="437">
        <f t="shared" si="76"/>
        <v>12480</v>
      </c>
      <c r="M551" s="437">
        <f t="shared" si="76"/>
        <v>4440</v>
      </c>
      <c r="N551" s="437">
        <f t="shared" si="76"/>
        <v>6876</v>
      </c>
      <c r="O551" s="437">
        <f t="shared" si="76"/>
        <v>37630</v>
      </c>
      <c r="P551" s="437">
        <f t="shared" si="76"/>
        <v>18596</v>
      </c>
      <c r="Q551" s="437">
        <f t="shared" si="76"/>
        <v>15280</v>
      </c>
      <c r="R551" s="437">
        <f t="shared" si="76"/>
        <v>19190</v>
      </c>
      <c r="S551" s="437">
        <f t="shared" si="76"/>
        <v>14310</v>
      </c>
      <c r="T551" s="437">
        <f t="shared" si="76"/>
        <v>21336</v>
      </c>
      <c r="U551" s="437">
        <f t="shared" si="76"/>
        <v>10250</v>
      </c>
      <c r="V551" s="437">
        <f t="shared" si="76"/>
        <v>7080</v>
      </c>
      <c r="W551" s="437">
        <f t="shared" si="76"/>
        <v>15090</v>
      </c>
    </row>
    <row r="552" spans="1:23" s="1" customFormat="1" ht="22.5">
      <c r="A552" s="449">
        <v>1</v>
      </c>
      <c r="B552" s="450" t="s">
        <v>2</v>
      </c>
      <c r="C552" s="451" t="s">
        <v>303</v>
      </c>
      <c r="D552" s="430">
        <f t="shared" si="67"/>
        <v>208790</v>
      </c>
      <c r="E552" s="430">
        <f t="shared" si="71"/>
        <v>92540</v>
      </c>
      <c r="F552" s="432"/>
      <c r="G552" s="432"/>
      <c r="H552" s="432">
        <v>92540</v>
      </c>
      <c r="I552" s="432"/>
      <c r="J552" s="432"/>
      <c r="K552" s="430">
        <f t="shared" si="68"/>
        <v>116250</v>
      </c>
      <c r="L552" s="452">
        <v>9600</v>
      </c>
      <c r="M552" s="453">
        <v>1440</v>
      </c>
      <c r="N552" s="452">
        <v>5160</v>
      </c>
      <c r="O552" s="453">
        <f>13230+2400</f>
        <v>15630</v>
      </c>
      <c r="P552" s="453">
        <v>11860</v>
      </c>
      <c r="Q552" s="453">
        <v>7440</v>
      </c>
      <c r="R552" s="453">
        <v>17670</v>
      </c>
      <c r="S552" s="453">
        <v>14310</v>
      </c>
      <c r="T552" s="453">
        <v>11360</v>
      </c>
      <c r="U552" s="453">
        <v>8370</v>
      </c>
      <c r="V552" s="453">
        <v>5040</v>
      </c>
      <c r="W552" s="453">
        <v>8370</v>
      </c>
    </row>
    <row r="553" spans="1:23" s="458" customFormat="1">
      <c r="A553" s="454">
        <v>2</v>
      </c>
      <c r="B553" s="450" t="s">
        <v>2</v>
      </c>
      <c r="C553" s="455" t="s">
        <v>295</v>
      </c>
      <c r="D553" s="430">
        <f t="shared" si="67"/>
        <v>243508</v>
      </c>
      <c r="E553" s="430">
        <f t="shared" si="71"/>
        <v>177200</v>
      </c>
      <c r="F553" s="456"/>
      <c r="G553" s="456"/>
      <c r="H553" s="456"/>
      <c r="I553" s="456"/>
      <c r="J553" s="59">
        <v>177200</v>
      </c>
      <c r="K553" s="430">
        <f t="shared" si="68"/>
        <v>66308</v>
      </c>
      <c r="L553" s="59">
        <v>2880</v>
      </c>
      <c r="M553" s="59">
        <v>3000</v>
      </c>
      <c r="N553" s="59">
        <v>1716</v>
      </c>
      <c r="O553" s="457">
        <v>22000</v>
      </c>
      <c r="P553" s="59">
        <v>6736</v>
      </c>
      <c r="Q553" s="59">
        <f>3280+4560</f>
        <v>7840</v>
      </c>
      <c r="R553" s="59">
        <v>1520</v>
      </c>
      <c r="S553" s="59"/>
      <c r="T553" s="59">
        <v>9976</v>
      </c>
      <c r="U553" s="59">
        <v>1880</v>
      </c>
      <c r="V553" s="59">
        <v>2040</v>
      </c>
      <c r="W553" s="59">
        <v>6720</v>
      </c>
    </row>
    <row r="554" spans="1:23" s="429" customFormat="1" ht="33.75">
      <c r="A554" s="447" t="s">
        <v>284</v>
      </c>
      <c r="B554" s="448" t="s">
        <v>582</v>
      </c>
      <c r="C554" s="436" t="s">
        <v>279</v>
      </c>
      <c r="D554" s="100">
        <f t="shared" si="67"/>
        <v>163280</v>
      </c>
      <c r="E554" s="100">
        <f t="shared" si="71"/>
        <v>163280</v>
      </c>
      <c r="F554" s="437">
        <f>SUM(F555:F559)</f>
        <v>0</v>
      </c>
      <c r="G554" s="437">
        <f t="shared" ref="G554:W554" si="77">SUM(G555:G559)</f>
        <v>0</v>
      </c>
      <c r="H554" s="437">
        <f t="shared" si="77"/>
        <v>0</v>
      </c>
      <c r="I554" s="437">
        <f t="shared" si="77"/>
        <v>163280</v>
      </c>
      <c r="J554" s="437">
        <f t="shared" si="77"/>
        <v>0</v>
      </c>
      <c r="K554" s="100">
        <f t="shared" si="68"/>
        <v>0</v>
      </c>
      <c r="L554" s="437">
        <f t="shared" si="77"/>
        <v>0</v>
      </c>
      <c r="M554" s="437">
        <f t="shared" si="77"/>
        <v>0</v>
      </c>
      <c r="N554" s="437">
        <f t="shared" si="77"/>
        <v>0</v>
      </c>
      <c r="O554" s="437">
        <f t="shared" si="77"/>
        <v>0</v>
      </c>
      <c r="P554" s="437">
        <f t="shared" si="77"/>
        <v>0</v>
      </c>
      <c r="Q554" s="437">
        <f t="shared" si="77"/>
        <v>0</v>
      </c>
      <c r="R554" s="437">
        <f t="shared" si="77"/>
        <v>0</v>
      </c>
      <c r="S554" s="437">
        <f t="shared" si="77"/>
        <v>0</v>
      </c>
      <c r="T554" s="437">
        <f t="shared" si="77"/>
        <v>0</v>
      </c>
      <c r="U554" s="437">
        <f t="shared" si="77"/>
        <v>0</v>
      </c>
      <c r="V554" s="437">
        <f t="shared" si="77"/>
        <v>0</v>
      </c>
      <c r="W554" s="437">
        <f t="shared" si="77"/>
        <v>0</v>
      </c>
    </row>
    <row r="555" spans="1:23" s="1" customFormat="1" ht="22.5">
      <c r="A555" s="459"/>
      <c r="B555" s="450" t="s">
        <v>582</v>
      </c>
      <c r="C555" s="460" t="s">
        <v>225</v>
      </c>
      <c r="D555" s="430">
        <f t="shared" si="67"/>
        <v>40000</v>
      </c>
      <c r="E555" s="430">
        <f t="shared" si="71"/>
        <v>40000</v>
      </c>
      <c r="F555" s="53"/>
      <c r="G555" s="53"/>
      <c r="H555" s="53"/>
      <c r="I555" s="53">
        <v>40000</v>
      </c>
      <c r="J555" s="53"/>
      <c r="K555" s="430">
        <f t="shared" si="68"/>
        <v>0</v>
      </c>
      <c r="L555" s="53"/>
      <c r="M555" s="53"/>
      <c r="N555" s="53"/>
      <c r="O555" s="53"/>
      <c r="P555" s="53"/>
      <c r="Q555" s="53"/>
      <c r="R555" s="53"/>
      <c r="S555" s="53"/>
      <c r="T555" s="53"/>
      <c r="U555" s="53"/>
      <c r="V555" s="53"/>
      <c r="W555" s="53"/>
    </row>
    <row r="556" spans="1:23" s="1" customFormat="1" ht="22.5">
      <c r="A556" s="459">
        <v>1</v>
      </c>
      <c r="B556" s="450" t="s">
        <v>582</v>
      </c>
      <c r="C556" s="460" t="s">
        <v>576</v>
      </c>
      <c r="D556" s="430">
        <f t="shared" si="67"/>
        <v>60000</v>
      </c>
      <c r="E556" s="430">
        <f t="shared" si="71"/>
        <v>60000</v>
      </c>
      <c r="F556" s="461"/>
      <c r="G556" s="57"/>
      <c r="H556" s="57"/>
      <c r="I556" s="57">
        <v>60000</v>
      </c>
      <c r="J556" s="57"/>
      <c r="K556" s="430">
        <f t="shared" si="68"/>
        <v>0</v>
      </c>
      <c r="L556" s="55"/>
      <c r="M556" s="462"/>
      <c r="N556" s="463"/>
      <c r="O556" s="462"/>
      <c r="P556" s="60"/>
      <c r="Q556" s="60"/>
      <c r="R556" s="464"/>
      <c r="S556" s="60"/>
      <c r="T556" s="57"/>
      <c r="U556" s="60"/>
      <c r="V556" s="60"/>
      <c r="W556" s="465"/>
    </row>
    <row r="557" spans="1:23" s="1" customFormat="1" ht="22.5">
      <c r="A557" s="459">
        <v>2</v>
      </c>
      <c r="B557" s="450" t="s">
        <v>582</v>
      </c>
      <c r="C557" s="460" t="s">
        <v>229</v>
      </c>
      <c r="D557" s="430">
        <f t="shared" si="67"/>
        <v>50000</v>
      </c>
      <c r="E557" s="430">
        <f t="shared" si="71"/>
        <v>50000</v>
      </c>
      <c r="F557" s="461"/>
      <c r="G557" s="57"/>
      <c r="H557" s="57"/>
      <c r="I557" s="57">
        <v>50000</v>
      </c>
      <c r="J557" s="57"/>
      <c r="K557" s="430">
        <f t="shared" si="68"/>
        <v>0</v>
      </c>
      <c r="L557" s="55"/>
      <c r="M557" s="462"/>
      <c r="N557" s="463"/>
      <c r="O557" s="462"/>
      <c r="P557" s="60"/>
      <c r="Q557" s="60"/>
      <c r="R557" s="464"/>
      <c r="S557" s="60"/>
      <c r="T557" s="57"/>
      <c r="U557" s="60"/>
      <c r="V557" s="60"/>
      <c r="W557" s="465"/>
    </row>
    <row r="558" spans="1:23" s="1" customFormat="1" ht="22.5">
      <c r="A558" s="459">
        <v>3</v>
      </c>
      <c r="B558" s="450" t="s">
        <v>582</v>
      </c>
      <c r="C558" s="460" t="s">
        <v>285</v>
      </c>
      <c r="D558" s="430">
        <f t="shared" si="67"/>
        <v>5000</v>
      </c>
      <c r="E558" s="430">
        <f t="shared" si="71"/>
        <v>5000</v>
      </c>
      <c r="F558" s="466"/>
      <c r="G558" s="466"/>
      <c r="H558" s="466"/>
      <c r="I558" s="466">
        <v>5000</v>
      </c>
      <c r="J558" s="466">
        <v>0</v>
      </c>
      <c r="K558" s="430">
        <f t="shared" si="68"/>
        <v>0</v>
      </c>
      <c r="L558" s="466">
        <v>0</v>
      </c>
      <c r="M558" s="466">
        <v>0</v>
      </c>
      <c r="N558" s="466">
        <v>0</v>
      </c>
      <c r="O558" s="466">
        <v>0</v>
      </c>
      <c r="P558" s="466">
        <v>0</v>
      </c>
      <c r="Q558" s="466">
        <v>0</v>
      </c>
      <c r="R558" s="466">
        <v>0</v>
      </c>
      <c r="S558" s="466">
        <v>0</v>
      </c>
      <c r="T558" s="466">
        <v>0</v>
      </c>
      <c r="U558" s="466">
        <v>0</v>
      </c>
      <c r="V558" s="466">
        <v>0</v>
      </c>
      <c r="W558" s="466">
        <v>0</v>
      </c>
    </row>
    <row r="559" spans="1:23" s="470" customFormat="1" ht="45">
      <c r="A559" s="467">
        <v>4</v>
      </c>
      <c r="B559" s="450" t="s">
        <v>582</v>
      </c>
      <c r="C559" s="468" t="s">
        <v>577</v>
      </c>
      <c r="D559" s="430">
        <f t="shared" si="67"/>
        <v>8280</v>
      </c>
      <c r="E559" s="430">
        <f t="shared" si="71"/>
        <v>8280</v>
      </c>
      <c r="F559" s="469"/>
      <c r="G559" s="469"/>
      <c r="H559" s="469"/>
      <c r="I559" s="469">
        <v>8280</v>
      </c>
      <c r="J559" s="469"/>
      <c r="K559" s="430">
        <f t="shared" si="68"/>
        <v>0</v>
      </c>
      <c r="L559" s="469"/>
      <c r="M559" s="469"/>
      <c r="N559" s="469"/>
      <c r="O559" s="469"/>
      <c r="P559" s="469"/>
      <c r="Q559" s="469"/>
      <c r="R559" s="469"/>
      <c r="S559" s="469"/>
      <c r="T559" s="469"/>
      <c r="U559" s="469"/>
      <c r="V559" s="469"/>
      <c r="W559" s="469"/>
    </row>
    <row r="560" spans="1:23" s="541" customFormat="1">
      <c r="A560" s="467"/>
      <c r="B560" s="471"/>
      <c r="C560" s="468"/>
      <c r="D560" s="472"/>
      <c r="E560" s="472"/>
      <c r="F560" s="540"/>
      <c r="G560" s="540"/>
      <c r="H560" s="540"/>
      <c r="I560" s="469"/>
      <c r="J560" s="540"/>
      <c r="K560" s="472"/>
      <c r="L560" s="540"/>
      <c r="M560" s="540"/>
      <c r="N560" s="540"/>
      <c r="O560" s="540"/>
      <c r="P560" s="540"/>
      <c r="Q560" s="540"/>
      <c r="R560" s="540"/>
      <c r="S560" s="540"/>
      <c r="T560" s="540"/>
      <c r="U560" s="540"/>
      <c r="V560" s="540"/>
      <c r="W560" s="540"/>
    </row>
    <row r="561" spans="1:23" s="477" customFormat="1">
      <c r="A561" s="473">
        <v>21</v>
      </c>
      <c r="B561" s="474"/>
      <c r="C561" s="475" t="s">
        <v>479</v>
      </c>
      <c r="D561" s="51">
        <f t="shared" si="67"/>
        <v>460000</v>
      </c>
      <c r="E561" s="51">
        <f t="shared" si="71"/>
        <v>460000</v>
      </c>
      <c r="F561" s="476">
        <f>SUM(F562:F569)</f>
        <v>460000</v>
      </c>
      <c r="G561" s="476"/>
      <c r="H561" s="476"/>
      <c r="I561" s="476"/>
      <c r="J561" s="476"/>
      <c r="K561" s="51">
        <f t="shared" si="68"/>
        <v>0</v>
      </c>
      <c r="L561" s="476"/>
      <c r="M561" s="476"/>
      <c r="N561" s="476"/>
      <c r="O561" s="476"/>
      <c r="P561" s="476"/>
      <c r="Q561" s="476"/>
      <c r="R561" s="476"/>
      <c r="S561" s="476"/>
      <c r="T561" s="476"/>
      <c r="U561" s="476"/>
      <c r="V561" s="476"/>
      <c r="W561" s="476"/>
    </row>
    <row r="562" spans="1:23" s="477" customFormat="1">
      <c r="A562" s="478">
        <v>1</v>
      </c>
      <c r="B562" s="479"/>
      <c r="C562" s="542" t="s">
        <v>131</v>
      </c>
      <c r="D562" s="51">
        <f t="shared" si="67"/>
        <v>50000</v>
      </c>
      <c r="E562" s="51">
        <f t="shared" si="71"/>
        <v>50000</v>
      </c>
      <c r="F562" s="543">
        <v>50000</v>
      </c>
      <c r="G562" s="476"/>
      <c r="H562" s="476"/>
      <c r="I562" s="476"/>
      <c r="J562" s="476"/>
      <c r="K562" s="51">
        <f t="shared" si="68"/>
        <v>0</v>
      </c>
      <c r="L562" s="476"/>
      <c r="M562" s="476"/>
      <c r="N562" s="476"/>
      <c r="O562" s="476"/>
      <c r="P562" s="476"/>
      <c r="Q562" s="476"/>
      <c r="R562" s="476"/>
      <c r="S562" s="476"/>
      <c r="T562" s="476"/>
      <c r="U562" s="476"/>
      <c r="V562" s="476"/>
      <c r="W562" s="476"/>
    </row>
    <row r="563" spans="1:23" s="477" customFormat="1" ht="22.5">
      <c r="A563" s="478">
        <v>2</v>
      </c>
      <c r="B563" s="479"/>
      <c r="C563" s="542" t="s">
        <v>474</v>
      </c>
      <c r="D563" s="51">
        <f t="shared" si="67"/>
        <v>40000</v>
      </c>
      <c r="E563" s="51">
        <f t="shared" si="71"/>
        <v>40000</v>
      </c>
      <c r="F563" s="543">
        <v>40000</v>
      </c>
      <c r="G563" s="476"/>
      <c r="H563" s="476"/>
      <c r="I563" s="476"/>
      <c r="J563" s="476"/>
      <c r="K563" s="51">
        <f t="shared" si="68"/>
        <v>0</v>
      </c>
      <c r="L563" s="476"/>
      <c r="M563" s="476"/>
      <c r="N563" s="476"/>
      <c r="O563" s="476"/>
      <c r="P563" s="476"/>
      <c r="Q563" s="476"/>
      <c r="R563" s="476"/>
      <c r="S563" s="476"/>
      <c r="T563" s="476"/>
      <c r="U563" s="476"/>
      <c r="V563" s="476"/>
      <c r="W563" s="476"/>
    </row>
    <row r="564" spans="1:23" s="477" customFormat="1" ht="22.5">
      <c r="A564" s="478">
        <v>3</v>
      </c>
      <c r="B564" s="479"/>
      <c r="C564" s="542" t="s">
        <v>480</v>
      </c>
      <c r="D564" s="51">
        <f t="shared" si="67"/>
        <v>130000</v>
      </c>
      <c r="E564" s="51">
        <f t="shared" si="71"/>
        <v>130000</v>
      </c>
      <c r="F564" s="543">
        <v>130000</v>
      </c>
      <c r="G564" s="476"/>
      <c r="H564" s="476"/>
      <c r="I564" s="476"/>
      <c r="J564" s="476"/>
      <c r="K564" s="51">
        <f t="shared" si="68"/>
        <v>0</v>
      </c>
      <c r="L564" s="476"/>
      <c r="M564" s="476"/>
      <c r="N564" s="476"/>
      <c r="O564" s="476"/>
      <c r="P564" s="476"/>
      <c r="Q564" s="476"/>
      <c r="R564" s="476"/>
      <c r="S564" s="476"/>
      <c r="T564" s="476"/>
      <c r="U564" s="476"/>
      <c r="V564" s="476"/>
      <c r="W564" s="476"/>
    </row>
    <row r="565" spans="1:23" s="477" customFormat="1" ht="22.5">
      <c r="A565" s="478">
        <v>4</v>
      </c>
      <c r="B565" s="479"/>
      <c r="C565" s="542" t="s">
        <v>481</v>
      </c>
      <c r="D565" s="51">
        <f t="shared" si="67"/>
        <v>50000</v>
      </c>
      <c r="E565" s="51">
        <f t="shared" si="71"/>
        <v>50000</v>
      </c>
      <c r="F565" s="543">
        <v>50000</v>
      </c>
      <c r="G565" s="476"/>
      <c r="H565" s="476"/>
      <c r="I565" s="476"/>
      <c r="J565" s="476"/>
      <c r="K565" s="51">
        <f t="shared" si="68"/>
        <v>0</v>
      </c>
      <c r="L565" s="476"/>
      <c r="M565" s="476"/>
      <c r="N565" s="476"/>
      <c r="O565" s="476"/>
      <c r="P565" s="476"/>
      <c r="Q565" s="476"/>
      <c r="R565" s="476"/>
      <c r="S565" s="476"/>
      <c r="T565" s="476"/>
      <c r="U565" s="476"/>
      <c r="V565" s="476"/>
      <c r="W565" s="476"/>
    </row>
    <row r="566" spans="1:23" s="477" customFormat="1">
      <c r="A566" s="478">
        <v>5</v>
      </c>
      <c r="B566" s="479"/>
      <c r="C566" s="542" t="s">
        <v>133</v>
      </c>
      <c r="D566" s="51">
        <f t="shared" si="67"/>
        <v>65000</v>
      </c>
      <c r="E566" s="51">
        <f t="shared" si="71"/>
        <v>65000</v>
      </c>
      <c r="F566" s="543">
        <v>65000</v>
      </c>
      <c r="G566" s="476"/>
      <c r="H566" s="476"/>
      <c r="I566" s="476"/>
      <c r="J566" s="476"/>
      <c r="K566" s="51">
        <f t="shared" si="68"/>
        <v>0</v>
      </c>
      <c r="L566" s="476"/>
      <c r="M566" s="476"/>
      <c r="N566" s="476"/>
      <c r="O566" s="476"/>
      <c r="P566" s="476"/>
      <c r="Q566" s="476"/>
      <c r="R566" s="476"/>
      <c r="S566" s="476"/>
      <c r="T566" s="476"/>
      <c r="U566" s="476"/>
      <c r="V566" s="476"/>
      <c r="W566" s="476"/>
    </row>
    <row r="567" spans="1:23" s="477" customFormat="1" ht="45">
      <c r="A567" s="478">
        <v>6</v>
      </c>
      <c r="B567" s="479"/>
      <c r="C567" s="480" t="s">
        <v>482</v>
      </c>
      <c r="D567" s="51">
        <f t="shared" si="67"/>
        <v>40000</v>
      </c>
      <c r="E567" s="51">
        <f t="shared" si="71"/>
        <v>40000</v>
      </c>
      <c r="F567" s="543">
        <v>40000</v>
      </c>
      <c r="G567" s="476"/>
      <c r="H567" s="476"/>
      <c r="I567" s="476"/>
      <c r="J567" s="476"/>
      <c r="K567" s="51">
        <f t="shared" si="68"/>
        <v>0</v>
      </c>
      <c r="L567" s="476"/>
      <c r="M567" s="476"/>
      <c r="N567" s="476"/>
      <c r="O567" s="476"/>
      <c r="P567" s="476"/>
      <c r="Q567" s="476"/>
      <c r="R567" s="476"/>
      <c r="S567" s="476"/>
      <c r="T567" s="476"/>
      <c r="U567" s="476"/>
      <c r="V567" s="476"/>
      <c r="W567" s="476"/>
    </row>
    <row r="568" spans="1:23" s="477" customFormat="1" ht="22.5">
      <c r="A568" s="478">
        <v>7</v>
      </c>
      <c r="B568" s="479"/>
      <c r="C568" s="480" t="s">
        <v>476</v>
      </c>
      <c r="D568" s="51">
        <f t="shared" si="67"/>
        <v>70000</v>
      </c>
      <c r="E568" s="51">
        <f t="shared" si="71"/>
        <v>70000</v>
      </c>
      <c r="F568" s="476">
        <v>70000</v>
      </c>
      <c r="G568" s="476"/>
      <c r="H568" s="476"/>
      <c r="I568" s="476"/>
      <c r="J568" s="476"/>
      <c r="K568" s="51">
        <f t="shared" si="68"/>
        <v>0</v>
      </c>
      <c r="L568" s="476"/>
      <c r="M568" s="476"/>
      <c r="N568" s="476"/>
      <c r="O568" s="476"/>
      <c r="P568" s="476"/>
      <c r="Q568" s="476"/>
      <c r="R568" s="476"/>
      <c r="S568" s="476"/>
      <c r="T568" s="476"/>
      <c r="U568" s="476"/>
      <c r="V568" s="476"/>
      <c r="W568" s="476"/>
    </row>
    <row r="569" spans="1:23" s="477" customFormat="1" ht="22.5">
      <c r="A569" s="478">
        <v>8</v>
      </c>
      <c r="B569" s="479"/>
      <c r="C569" s="480" t="s">
        <v>478</v>
      </c>
      <c r="D569" s="51">
        <f t="shared" si="67"/>
        <v>15000</v>
      </c>
      <c r="E569" s="51">
        <f t="shared" si="71"/>
        <v>15000</v>
      </c>
      <c r="F569" s="476">
        <v>15000</v>
      </c>
      <c r="G569" s="476"/>
      <c r="H569" s="476"/>
      <c r="I569" s="476"/>
      <c r="J569" s="476"/>
      <c r="K569" s="51">
        <f t="shared" si="68"/>
        <v>0</v>
      </c>
      <c r="L569" s="476"/>
      <c r="M569" s="476"/>
      <c r="N569" s="476"/>
      <c r="O569" s="476"/>
      <c r="P569" s="476"/>
      <c r="Q569" s="476"/>
      <c r="R569" s="476"/>
      <c r="S569" s="476"/>
      <c r="T569" s="476"/>
      <c r="U569" s="476"/>
      <c r="V569" s="476"/>
      <c r="W569" s="476"/>
    </row>
    <row r="571" spans="1:23">
      <c r="A571" s="2"/>
      <c r="B571" s="2"/>
      <c r="C571" s="1978" t="s">
        <v>534</v>
      </c>
      <c r="D571" s="1978"/>
      <c r="E571" s="1978"/>
      <c r="F571" s="1978"/>
      <c r="L571" s="1979" t="s">
        <v>535</v>
      </c>
      <c r="M571" s="1979"/>
      <c r="N571" s="1979"/>
      <c r="O571" s="1979"/>
      <c r="P571" s="1979"/>
      <c r="Q571" s="1979"/>
      <c r="S571" s="1979" t="s">
        <v>536</v>
      </c>
      <c r="T571" s="1979"/>
      <c r="U571" s="1979"/>
      <c r="V571" s="1979"/>
    </row>
    <row r="572" spans="1:23">
      <c r="A572" s="2"/>
      <c r="B572" s="2"/>
      <c r="N572" s="1979"/>
      <c r="O572" s="1979"/>
      <c r="P572" s="1979"/>
      <c r="Q572" s="1979"/>
      <c r="R572" s="1979"/>
      <c r="S572" s="1979"/>
      <c r="T572" s="1979"/>
      <c r="U572" s="1979"/>
      <c r="V572" s="1979"/>
      <c r="W572" s="1979"/>
    </row>
    <row r="579" spans="1:17">
      <c r="A579" s="2"/>
      <c r="B579" s="2"/>
      <c r="L579" s="1979" t="s">
        <v>537</v>
      </c>
      <c r="M579" s="1979"/>
      <c r="N579" s="1979"/>
      <c r="O579" s="1979"/>
      <c r="P579" s="1979"/>
      <c r="Q579" s="1979"/>
    </row>
  </sheetData>
  <mergeCells count="15">
    <mergeCell ref="A2:W2"/>
    <mergeCell ref="T3:W3"/>
    <mergeCell ref="A4:A7"/>
    <mergeCell ref="C4:C7"/>
    <mergeCell ref="D4:W4"/>
    <mergeCell ref="D5:D7"/>
    <mergeCell ref="E5:J6"/>
    <mergeCell ref="K5:W6"/>
    <mergeCell ref="L579:Q579"/>
    <mergeCell ref="C571:F571"/>
    <mergeCell ref="L571:Q571"/>
    <mergeCell ref="S571:V571"/>
    <mergeCell ref="N572:P572"/>
    <mergeCell ref="Q572:S572"/>
    <mergeCell ref="T572:W57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2"/>
  <sheetViews>
    <sheetView topLeftCell="A7" workbookViewId="0">
      <selection activeCell="E19" sqref="E19"/>
    </sheetView>
  </sheetViews>
  <sheetFormatPr defaultRowHeight="15.75"/>
  <cols>
    <col min="1" max="1" width="5.5703125" style="687" customWidth="1"/>
    <col min="2" max="2" width="24" style="787" customWidth="1"/>
    <col min="3" max="3" width="20.140625" style="687" bestFit="1" customWidth="1"/>
    <col min="4" max="4" width="15.5703125" style="687" customWidth="1"/>
    <col min="5" max="5" width="18.7109375" style="687" customWidth="1"/>
    <col min="6" max="6" width="16.7109375" style="687" customWidth="1"/>
    <col min="7" max="7" width="18" style="687" customWidth="1"/>
    <col min="8" max="15" width="19" style="687" bestFit="1" customWidth="1"/>
    <col min="16" max="16384" width="9.140625" style="687"/>
  </cols>
  <sheetData>
    <row r="1" spans="1:16">
      <c r="A1" s="1884" t="s">
        <v>745</v>
      </c>
      <c r="B1" s="1884"/>
      <c r="C1" s="1884"/>
      <c r="D1" s="1884"/>
      <c r="E1" s="1884"/>
      <c r="F1" s="1884"/>
      <c r="G1" s="1884"/>
    </row>
    <row r="2" spans="1:16" s="692" customFormat="1" ht="31.5">
      <c r="A2" s="689" t="s">
        <v>309</v>
      </c>
      <c r="B2" s="756" t="s">
        <v>751</v>
      </c>
      <c r="C2" s="756" t="s">
        <v>812</v>
      </c>
      <c r="D2" s="756" t="s">
        <v>727</v>
      </c>
      <c r="E2" s="756" t="s">
        <v>728</v>
      </c>
      <c r="F2" s="756" t="s">
        <v>729</v>
      </c>
      <c r="G2" s="756" t="s">
        <v>730</v>
      </c>
      <c r="H2" s="756" t="s">
        <v>731</v>
      </c>
      <c r="I2" s="756" t="s">
        <v>732</v>
      </c>
      <c r="J2" s="756" t="s">
        <v>733</v>
      </c>
      <c r="K2" s="756" t="s">
        <v>734</v>
      </c>
      <c r="L2" s="756" t="s">
        <v>735</v>
      </c>
      <c r="M2" s="756" t="s">
        <v>736</v>
      </c>
      <c r="N2" s="756" t="s">
        <v>737</v>
      </c>
      <c r="O2" s="756" t="s">
        <v>738</v>
      </c>
    </row>
    <row r="3" spans="1:16" s="780" customFormat="1" ht="31.5">
      <c r="A3" s="688" t="s">
        <v>768</v>
      </c>
      <c r="B3" s="778" t="s">
        <v>813</v>
      </c>
      <c r="C3" s="779">
        <f>SUM(D3:O3)</f>
        <v>27784000000</v>
      </c>
      <c r="D3" s="779">
        <v>3738500000</v>
      </c>
      <c r="E3" s="779">
        <v>633500000</v>
      </c>
      <c r="F3" s="779">
        <v>3026500000</v>
      </c>
      <c r="G3" s="779">
        <v>3037500000</v>
      </c>
      <c r="H3" s="779">
        <v>3208500000</v>
      </c>
      <c r="I3" s="779">
        <v>1386000000</v>
      </c>
      <c r="J3" s="779">
        <v>2969000000</v>
      </c>
      <c r="K3" s="779">
        <v>2819700000</v>
      </c>
      <c r="L3" s="779">
        <v>3239000000</v>
      </c>
      <c r="M3" s="779">
        <v>1299500000</v>
      </c>
      <c r="N3" s="779">
        <v>1371500000</v>
      </c>
      <c r="O3" s="779">
        <v>1054800000</v>
      </c>
    </row>
    <row r="4" spans="1:16" s="780" customFormat="1" ht="78.75">
      <c r="A4" s="688" t="s">
        <v>804</v>
      </c>
      <c r="B4" s="778" t="s">
        <v>742</v>
      </c>
      <c r="C4" s="779">
        <f>SUM(D4:O4)</f>
        <v>572400000</v>
      </c>
      <c r="D4" s="779">
        <v>47700000</v>
      </c>
      <c r="E4" s="779">
        <v>47700000</v>
      </c>
      <c r="F4" s="779">
        <v>47700000</v>
      </c>
      <c r="G4" s="779">
        <v>47700000</v>
      </c>
      <c r="H4" s="779">
        <v>47700000</v>
      </c>
      <c r="I4" s="779">
        <v>47700000</v>
      </c>
      <c r="J4" s="779">
        <v>47700000</v>
      </c>
      <c r="K4" s="779">
        <v>47700000</v>
      </c>
      <c r="L4" s="779">
        <v>47700000</v>
      </c>
      <c r="M4" s="779">
        <v>47700000</v>
      </c>
      <c r="N4" s="779">
        <v>47700000</v>
      </c>
      <c r="O4" s="779">
        <v>47700000</v>
      </c>
    </row>
    <row r="5" spans="1:16" s="780" customFormat="1">
      <c r="A5" s="688" t="s">
        <v>815</v>
      </c>
      <c r="B5" s="778" t="s">
        <v>741</v>
      </c>
      <c r="C5" s="779">
        <f t="shared" ref="C5:O5" si="0">C3-C4</f>
        <v>27211600000</v>
      </c>
      <c r="D5" s="779">
        <f t="shared" si="0"/>
        <v>3690800000</v>
      </c>
      <c r="E5" s="779">
        <f t="shared" si="0"/>
        <v>585800000</v>
      </c>
      <c r="F5" s="779">
        <f t="shared" si="0"/>
        <v>2978800000</v>
      </c>
      <c r="G5" s="779">
        <f t="shared" si="0"/>
        <v>2989800000</v>
      </c>
      <c r="H5" s="779">
        <f t="shared" si="0"/>
        <v>3160800000</v>
      </c>
      <c r="I5" s="779">
        <f t="shared" si="0"/>
        <v>1338300000</v>
      </c>
      <c r="J5" s="779">
        <f t="shared" si="0"/>
        <v>2921300000</v>
      </c>
      <c r="K5" s="779">
        <f t="shared" si="0"/>
        <v>2772000000</v>
      </c>
      <c r="L5" s="779">
        <f t="shared" si="0"/>
        <v>3191300000</v>
      </c>
      <c r="M5" s="779">
        <f t="shared" si="0"/>
        <v>1251800000</v>
      </c>
      <c r="N5" s="779">
        <f t="shared" si="0"/>
        <v>1323800000</v>
      </c>
      <c r="O5" s="779">
        <f t="shared" si="0"/>
        <v>1007100000</v>
      </c>
    </row>
    <row r="6" spans="1:16" s="780" customFormat="1" ht="31.5">
      <c r="A6" s="688" t="s">
        <v>814</v>
      </c>
      <c r="B6" s="778" t="s">
        <v>811</v>
      </c>
      <c r="C6" s="779">
        <f>SUM(D6:O6)</f>
        <v>4483800000</v>
      </c>
      <c r="D6" s="779">
        <v>540000000</v>
      </c>
      <c r="E6" s="779">
        <v>91800000</v>
      </c>
      <c r="F6" s="779">
        <v>318600000</v>
      </c>
      <c r="G6" s="779">
        <v>597600000</v>
      </c>
      <c r="H6" s="779">
        <v>531000000</v>
      </c>
      <c r="I6" s="779">
        <v>171000000</v>
      </c>
      <c r="J6" s="779">
        <v>612000000</v>
      </c>
      <c r="K6" s="779">
        <v>509400000</v>
      </c>
      <c r="L6" s="779">
        <v>495000000</v>
      </c>
      <c r="M6" s="779">
        <v>189000000</v>
      </c>
      <c r="N6" s="779">
        <v>223200000</v>
      </c>
      <c r="O6" s="779">
        <v>205200000</v>
      </c>
    </row>
    <row r="7" spans="1:16" s="780" customFormat="1" ht="47.25">
      <c r="A7" s="688" t="s">
        <v>816</v>
      </c>
      <c r="B7" s="778" t="s">
        <v>747</v>
      </c>
      <c r="C7" s="779">
        <f>C5-C6</f>
        <v>22727800000</v>
      </c>
      <c r="D7" s="779">
        <f t="shared" ref="D7:O7" si="1">D5-D6</f>
        <v>3150800000</v>
      </c>
      <c r="E7" s="779">
        <f t="shared" si="1"/>
        <v>494000000</v>
      </c>
      <c r="F7" s="779">
        <f t="shared" si="1"/>
        <v>2660200000</v>
      </c>
      <c r="G7" s="779">
        <f t="shared" si="1"/>
        <v>2392200000</v>
      </c>
      <c r="H7" s="779">
        <f t="shared" si="1"/>
        <v>2629800000</v>
      </c>
      <c r="I7" s="779">
        <f t="shared" si="1"/>
        <v>1167300000</v>
      </c>
      <c r="J7" s="779">
        <f t="shared" si="1"/>
        <v>2309300000</v>
      </c>
      <c r="K7" s="779">
        <f t="shared" si="1"/>
        <v>2262600000</v>
      </c>
      <c r="L7" s="779">
        <f t="shared" si="1"/>
        <v>2696300000</v>
      </c>
      <c r="M7" s="779">
        <f t="shared" si="1"/>
        <v>1062800000</v>
      </c>
      <c r="N7" s="779">
        <f t="shared" si="1"/>
        <v>1100600000</v>
      </c>
      <c r="O7" s="779">
        <f t="shared" si="1"/>
        <v>801900000</v>
      </c>
    </row>
    <row r="8" spans="1:16" s="782" customFormat="1" ht="31.5">
      <c r="A8" s="781" t="s">
        <v>817</v>
      </c>
      <c r="B8" s="781" t="s">
        <v>818</v>
      </c>
      <c r="C8" s="778">
        <f>SUM(D8:O8)</f>
        <v>55836526975</v>
      </c>
      <c r="D8" s="778">
        <f>D9+D14+D19+D20+D26+D27+D28+D29+D30+D31+D32+D33+D34+D35+D36+D37+D38+D39+D43+D48</f>
        <v>6956365000</v>
      </c>
      <c r="E8" s="778">
        <f>E9+E14+E19+E20+E26+E27+E28+E29+E30+E31+E32+E33+E34+E35+E36+E37+E38+E39+E43+E48</f>
        <v>2865257000</v>
      </c>
      <c r="F8" s="778">
        <f t="shared" ref="F8:O8" si="2">F9+F14+F19+F20+F26+F27+F28+F29+F30+F31+F32+F33+F34+F35+F36+F37+F38+F39+F43+F48</f>
        <v>3287445000</v>
      </c>
      <c r="G8" s="778">
        <f t="shared" si="2"/>
        <v>5740800000</v>
      </c>
      <c r="H8" s="778">
        <f t="shared" si="2"/>
        <v>4930190000</v>
      </c>
      <c r="I8" s="778">
        <f t="shared" si="2"/>
        <v>2630446000</v>
      </c>
      <c r="J8" s="778">
        <f t="shared" si="2"/>
        <v>6323912975</v>
      </c>
      <c r="K8" s="778">
        <f t="shared" si="2"/>
        <v>5244467000</v>
      </c>
      <c r="L8" s="778">
        <f t="shared" si="2"/>
        <v>7110132000</v>
      </c>
      <c r="M8" s="778">
        <f t="shared" si="2"/>
        <v>3506052000</v>
      </c>
      <c r="N8" s="778">
        <f t="shared" si="2"/>
        <v>3839100000</v>
      </c>
      <c r="O8" s="778">
        <f t="shared" si="2"/>
        <v>3402360000</v>
      </c>
      <c r="P8" s="782" t="s">
        <v>819</v>
      </c>
    </row>
    <row r="9" spans="1:16" ht="51">
      <c r="A9" s="758">
        <v>1</v>
      </c>
      <c r="B9" s="769" t="s">
        <v>770</v>
      </c>
      <c r="C9" s="757">
        <f t="shared" ref="C9:C52" si="3">SUM(D9:O9)</f>
        <v>16097192000</v>
      </c>
      <c r="D9" s="757">
        <f>D10+D11+D12+D13</f>
        <v>1673104000</v>
      </c>
      <c r="E9" s="757">
        <f t="shared" ref="E9:O9" si="4">E10+E11+E12+E13</f>
        <v>955668000</v>
      </c>
      <c r="F9" s="757">
        <f t="shared" si="4"/>
        <v>1322000000</v>
      </c>
      <c r="G9" s="757">
        <f t="shared" si="4"/>
        <v>1663000000</v>
      </c>
      <c r="H9" s="757">
        <f t="shared" si="4"/>
        <v>1359000000</v>
      </c>
      <c r="I9" s="757">
        <f t="shared" si="4"/>
        <v>1005460000</v>
      </c>
      <c r="J9" s="757">
        <f t="shared" si="4"/>
        <v>1718100000</v>
      </c>
      <c r="K9" s="757">
        <f t="shared" si="4"/>
        <v>1518579000</v>
      </c>
      <c r="L9" s="757">
        <f t="shared" si="4"/>
        <v>1484000000</v>
      </c>
      <c r="M9" s="757">
        <f t="shared" si="4"/>
        <v>1197141000</v>
      </c>
      <c r="N9" s="757">
        <f t="shared" si="4"/>
        <v>1100140000</v>
      </c>
      <c r="O9" s="757">
        <f t="shared" si="4"/>
        <v>1101000000</v>
      </c>
    </row>
    <row r="10" spans="1:16" s="784" customFormat="1" ht="25.5">
      <c r="A10" s="770" t="s">
        <v>806</v>
      </c>
      <c r="B10" s="772" t="s">
        <v>771</v>
      </c>
      <c r="C10" s="783">
        <f t="shared" si="3"/>
        <v>2156365000</v>
      </c>
      <c r="D10" s="783">
        <v>117104000.00000004</v>
      </c>
      <c r="E10" s="783">
        <v>50368000</v>
      </c>
      <c r="F10" s="783">
        <v>126000000</v>
      </c>
      <c r="G10" s="783">
        <v>269000000</v>
      </c>
      <c r="H10" s="783">
        <v>179000000</v>
      </c>
      <c r="I10" s="783">
        <v>122910000</v>
      </c>
      <c r="J10" s="783">
        <v>455000000</v>
      </c>
      <c r="K10" s="783">
        <v>368000000</v>
      </c>
      <c r="L10" s="783">
        <v>100000000</v>
      </c>
      <c r="M10" s="783">
        <v>210983000</v>
      </c>
      <c r="N10" s="783">
        <v>50000000</v>
      </c>
      <c r="O10" s="783">
        <v>108000000</v>
      </c>
    </row>
    <row r="11" spans="1:16" s="784" customFormat="1">
      <c r="A11" s="770" t="s">
        <v>807</v>
      </c>
      <c r="B11" s="772" t="s">
        <v>772</v>
      </c>
      <c r="C11" s="783">
        <f t="shared" si="3"/>
        <v>10773000000</v>
      </c>
      <c r="D11" s="783">
        <v>668000000</v>
      </c>
      <c r="E11" s="783">
        <v>852000000</v>
      </c>
      <c r="F11" s="783">
        <v>896000000</v>
      </c>
      <c r="G11" s="783">
        <v>1083000000</v>
      </c>
      <c r="H11" s="783">
        <v>1028000000</v>
      </c>
      <c r="I11" s="783">
        <v>870000000</v>
      </c>
      <c r="J11" s="783">
        <v>1106000000</v>
      </c>
      <c r="K11" s="783">
        <v>613000000</v>
      </c>
      <c r="L11" s="783">
        <v>987000000</v>
      </c>
      <c r="M11" s="783">
        <v>890000000</v>
      </c>
      <c r="N11" s="783">
        <v>890000000</v>
      </c>
      <c r="O11" s="783">
        <v>890000000</v>
      </c>
    </row>
    <row r="12" spans="1:16" s="784" customFormat="1" ht="51">
      <c r="A12" s="770" t="s">
        <v>808</v>
      </c>
      <c r="B12" s="772" t="s">
        <v>805</v>
      </c>
      <c r="C12" s="783">
        <f t="shared" si="3"/>
        <v>0</v>
      </c>
      <c r="D12" s="783">
        <v>0</v>
      </c>
      <c r="E12" s="783">
        <v>0</v>
      </c>
      <c r="F12" s="783">
        <v>0</v>
      </c>
      <c r="G12" s="783">
        <v>0</v>
      </c>
      <c r="H12" s="783">
        <v>0</v>
      </c>
      <c r="I12" s="783">
        <v>0</v>
      </c>
      <c r="J12" s="783">
        <v>0</v>
      </c>
      <c r="K12" s="783">
        <v>0</v>
      </c>
      <c r="L12" s="783">
        <v>0</v>
      </c>
      <c r="M12" s="783">
        <v>0</v>
      </c>
      <c r="N12" s="783">
        <v>0</v>
      </c>
      <c r="O12" s="783">
        <v>0</v>
      </c>
    </row>
    <row r="13" spans="1:16" s="784" customFormat="1">
      <c r="A13" s="773" t="s">
        <v>809</v>
      </c>
      <c r="B13" s="768" t="s">
        <v>773</v>
      </c>
      <c r="C13" s="783">
        <f t="shared" si="3"/>
        <v>3167827000</v>
      </c>
      <c r="D13" s="783">
        <v>888000000</v>
      </c>
      <c r="E13" s="783">
        <v>53300000</v>
      </c>
      <c r="F13" s="783">
        <v>300000000</v>
      </c>
      <c r="G13" s="783">
        <v>311000000</v>
      </c>
      <c r="H13" s="783">
        <v>152000000</v>
      </c>
      <c r="I13" s="783">
        <v>12550000</v>
      </c>
      <c r="J13" s="783">
        <v>157099999.99999997</v>
      </c>
      <c r="K13" s="783">
        <v>537579000.00000012</v>
      </c>
      <c r="L13" s="783">
        <v>397000000</v>
      </c>
      <c r="M13" s="783">
        <v>96157999.999999985</v>
      </c>
      <c r="N13" s="783">
        <v>160140000</v>
      </c>
      <c r="O13" s="783">
        <v>103000000</v>
      </c>
    </row>
    <row r="14" spans="1:16" ht="25.5">
      <c r="A14" s="761">
        <v>2</v>
      </c>
      <c r="B14" s="762" t="s">
        <v>774</v>
      </c>
      <c r="C14" s="757">
        <f t="shared" si="3"/>
        <v>7263896000</v>
      </c>
      <c r="D14" s="757">
        <f>D15+D16+D17+D18</f>
        <v>1072959000</v>
      </c>
      <c r="E14" s="757">
        <f t="shared" ref="E14:O14" si="5">E15+E16+E17+E18</f>
        <v>222150000</v>
      </c>
      <c r="F14" s="757">
        <f t="shared" si="5"/>
        <v>177496000</v>
      </c>
      <c r="G14" s="757">
        <f t="shared" si="5"/>
        <v>646000000</v>
      </c>
      <c r="H14" s="757">
        <f t="shared" si="5"/>
        <v>528000000</v>
      </c>
      <c r="I14" s="757">
        <f t="shared" si="5"/>
        <v>172000000</v>
      </c>
      <c r="J14" s="757">
        <f t="shared" si="5"/>
        <v>1105000000</v>
      </c>
      <c r="K14" s="757">
        <f t="shared" si="5"/>
        <v>708668000</v>
      </c>
      <c r="L14" s="757">
        <f t="shared" si="5"/>
        <v>865000000</v>
      </c>
      <c r="M14" s="757">
        <f t="shared" si="5"/>
        <v>417623000</v>
      </c>
      <c r="N14" s="757">
        <f t="shared" si="5"/>
        <v>884000000</v>
      </c>
      <c r="O14" s="757">
        <f t="shared" si="5"/>
        <v>465000000</v>
      </c>
    </row>
    <row r="15" spans="1:16" s="784" customFormat="1" ht="25.5">
      <c r="A15" s="770" t="s">
        <v>806</v>
      </c>
      <c r="B15" s="777" t="s">
        <v>18</v>
      </c>
      <c r="C15" s="783">
        <f t="shared" si="3"/>
        <v>2801340000</v>
      </c>
      <c r="D15" s="783">
        <v>905935000</v>
      </c>
      <c r="E15" s="783">
        <v>126750000</v>
      </c>
      <c r="F15" s="783">
        <v>36000000</v>
      </c>
      <c r="G15" s="783">
        <v>180000000</v>
      </c>
      <c r="H15" s="783">
        <v>296000000</v>
      </c>
      <c r="I15" s="783">
        <v>72000000</v>
      </c>
      <c r="J15" s="783">
        <v>217000000</v>
      </c>
      <c r="K15" s="783">
        <v>167000000</v>
      </c>
      <c r="L15" s="783">
        <v>278000000</v>
      </c>
      <c r="M15" s="783">
        <v>167655000</v>
      </c>
      <c r="N15" s="783">
        <v>243000000</v>
      </c>
      <c r="O15" s="783">
        <v>112000000</v>
      </c>
    </row>
    <row r="16" spans="1:16" s="784" customFormat="1" ht="25.5">
      <c r="A16" s="770" t="s">
        <v>807</v>
      </c>
      <c r="B16" s="777" t="s">
        <v>19</v>
      </c>
      <c r="C16" s="783">
        <f t="shared" si="3"/>
        <v>384138000</v>
      </c>
      <c r="D16" s="783">
        <v>81854000</v>
      </c>
      <c r="E16" s="783">
        <v>19640000</v>
      </c>
      <c r="F16" s="783">
        <v>37802000</v>
      </c>
      <c r="G16" s="783">
        <v>42000000</v>
      </c>
      <c r="H16" s="783">
        <v>2000000</v>
      </c>
      <c r="I16" s="783">
        <v>23000000</v>
      </c>
      <c r="J16" s="783">
        <v>62000000</v>
      </c>
      <c r="K16" s="783">
        <v>10342000</v>
      </c>
      <c r="L16" s="783">
        <v>60000000</v>
      </c>
      <c r="M16" s="783">
        <v>17500000</v>
      </c>
      <c r="N16" s="783">
        <v>14000000</v>
      </c>
      <c r="O16" s="783">
        <v>14000000</v>
      </c>
    </row>
    <row r="17" spans="1:15" s="784" customFormat="1" ht="25.5">
      <c r="A17" s="770" t="s">
        <v>808</v>
      </c>
      <c r="B17" s="777" t="s">
        <v>20</v>
      </c>
      <c r="C17" s="783">
        <f t="shared" si="3"/>
        <v>1274960000</v>
      </c>
      <c r="D17" s="783">
        <v>75200000</v>
      </c>
      <c r="E17" s="783">
        <v>37760000.000000007</v>
      </c>
      <c r="F17" s="783">
        <v>59000000</v>
      </c>
      <c r="G17" s="783">
        <v>244000000</v>
      </c>
      <c r="H17" s="783">
        <v>19000000</v>
      </c>
      <c r="I17" s="783">
        <v>59000000</v>
      </c>
      <c r="J17" s="783">
        <v>198000000</v>
      </c>
      <c r="K17" s="783">
        <v>68000000</v>
      </c>
      <c r="L17" s="783">
        <v>152000000</v>
      </c>
      <c r="M17" s="783">
        <v>111000000</v>
      </c>
      <c r="N17" s="783">
        <v>143000000</v>
      </c>
      <c r="O17" s="783">
        <v>109000000</v>
      </c>
    </row>
    <row r="18" spans="1:15" s="784" customFormat="1" ht="25.5">
      <c r="A18" s="773" t="s">
        <v>809</v>
      </c>
      <c r="B18" s="777" t="s">
        <v>21</v>
      </c>
      <c r="C18" s="783">
        <f t="shared" si="3"/>
        <v>2803458000</v>
      </c>
      <c r="D18" s="783">
        <v>9970000</v>
      </c>
      <c r="E18" s="783">
        <v>38000000</v>
      </c>
      <c r="F18" s="783">
        <v>44694000</v>
      </c>
      <c r="G18" s="783">
        <v>180000000</v>
      </c>
      <c r="H18" s="783">
        <v>211000000</v>
      </c>
      <c r="I18" s="783">
        <v>18000000</v>
      </c>
      <c r="J18" s="783">
        <v>628000000</v>
      </c>
      <c r="K18" s="783">
        <v>463326000</v>
      </c>
      <c r="L18" s="783">
        <v>375000000</v>
      </c>
      <c r="M18" s="783">
        <v>121467999.99999999</v>
      </c>
      <c r="N18" s="783">
        <v>484000000</v>
      </c>
      <c r="O18" s="783">
        <v>230000000</v>
      </c>
    </row>
    <row r="19" spans="1:15">
      <c r="A19" s="761">
        <v>3</v>
      </c>
      <c r="B19" s="762" t="s">
        <v>775</v>
      </c>
      <c r="C19" s="757">
        <f t="shared" si="3"/>
        <v>4253166000</v>
      </c>
      <c r="D19" s="757">
        <v>366000000</v>
      </c>
      <c r="E19" s="757">
        <v>455200000</v>
      </c>
      <c r="F19" s="757">
        <v>210416000</v>
      </c>
      <c r="G19" s="757">
        <v>210000000</v>
      </c>
      <c r="H19" s="757">
        <v>561000000</v>
      </c>
      <c r="I19" s="757">
        <v>75000000</v>
      </c>
      <c r="J19" s="757">
        <v>498000000</v>
      </c>
      <c r="K19" s="757">
        <v>875450000</v>
      </c>
      <c r="L19" s="757">
        <v>537000000</v>
      </c>
      <c r="M19" s="757">
        <v>188100000</v>
      </c>
      <c r="N19" s="757">
        <v>132000000</v>
      </c>
      <c r="O19" s="757">
        <v>145000000</v>
      </c>
    </row>
    <row r="20" spans="1:15" ht="25.5">
      <c r="A20" s="761">
        <v>4</v>
      </c>
      <c r="B20" s="762" t="s">
        <v>776</v>
      </c>
      <c r="C20" s="757">
        <f t="shared" si="3"/>
        <v>1528952000</v>
      </c>
      <c r="D20" s="757">
        <f>SUM(D21:D25)</f>
        <v>240870000</v>
      </c>
      <c r="E20" s="757">
        <f t="shared" ref="E20:O20" si="6">SUM(E21:E25)</f>
        <v>176020000</v>
      </c>
      <c r="F20" s="757">
        <f t="shared" si="6"/>
        <v>77850000</v>
      </c>
      <c r="G20" s="757">
        <f t="shared" si="6"/>
        <v>85000000</v>
      </c>
      <c r="H20" s="757">
        <f t="shared" si="6"/>
        <v>172000000</v>
      </c>
      <c r="I20" s="757">
        <f t="shared" si="6"/>
        <v>66000000</v>
      </c>
      <c r="J20" s="757">
        <f t="shared" si="6"/>
        <v>159000000</v>
      </c>
      <c r="K20" s="757">
        <f t="shared" si="6"/>
        <v>111342000</v>
      </c>
      <c r="L20" s="757">
        <f t="shared" si="6"/>
        <v>222000000</v>
      </c>
      <c r="M20" s="757">
        <f t="shared" si="6"/>
        <v>110870000</v>
      </c>
      <c r="N20" s="757">
        <f t="shared" si="6"/>
        <v>38000000</v>
      </c>
      <c r="O20" s="757">
        <f t="shared" si="6"/>
        <v>70000000</v>
      </c>
    </row>
    <row r="21" spans="1:15" s="784" customFormat="1" ht="25.5">
      <c r="A21" s="770" t="s">
        <v>806</v>
      </c>
      <c r="B21" s="777" t="s">
        <v>777</v>
      </c>
      <c r="C21" s="783">
        <f t="shared" si="3"/>
        <v>355160000</v>
      </c>
      <c r="D21" s="783">
        <v>28360000</v>
      </c>
      <c r="E21" s="783">
        <v>36519999.999999993</v>
      </c>
      <c r="F21" s="783">
        <v>22979999.999999996</v>
      </c>
      <c r="G21" s="783">
        <v>5000000</v>
      </c>
      <c r="H21" s="783">
        <v>92000000</v>
      </c>
      <c r="I21" s="783">
        <v>21000000</v>
      </c>
      <c r="J21" s="783">
        <v>19000000</v>
      </c>
      <c r="K21" s="783">
        <v>24000000</v>
      </c>
      <c r="L21" s="783">
        <v>30000000</v>
      </c>
      <c r="M21" s="783">
        <v>26299999.999999996</v>
      </c>
      <c r="N21" s="783">
        <v>18000000</v>
      </c>
      <c r="O21" s="783">
        <v>32000000</v>
      </c>
    </row>
    <row r="22" spans="1:15" s="784" customFormat="1">
      <c r="A22" s="770" t="s">
        <v>807</v>
      </c>
      <c r="B22" s="775" t="s">
        <v>778</v>
      </c>
      <c r="C22" s="783">
        <f t="shared" si="3"/>
        <v>631101000</v>
      </c>
      <c r="D22" s="783">
        <v>123090000</v>
      </c>
      <c r="E22" s="783">
        <v>53700000</v>
      </c>
      <c r="F22" s="783">
        <v>30811000</v>
      </c>
      <c r="G22" s="783">
        <v>42000000</v>
      </c>
      <c r="H22" s="783">
        <v>57000000</v>
      </c>
      <c r="I22" s="783">
        <v>9000000</v>
      </c>
      <c r="J22" s="783">
        <v>69000000</v>
      </c>
      <c r="K22" s="783">
        <v>38200000</v>
      </c>
      <c r="L22" s="783">
        <v>156000000</v>
      </c>
      <c r="M22" s="783">
        <v>31299999.999999996</v>
      </c>
      <c r="N22" s="783">
        <v>8000000</v>
      </c>
      <c r="O22" s="783">
        <v>13000000</v>
      </c>
    </row>
    <row r="23" spans="1:15" s="784" customFormat="1" ht="25.5">
      <c r="A23" s="770" t="s">
        <v>808</v>
      </c>
      <c r="B23" s="776" t="s">
        <v>779</v>
      </c>
      <c r="C23" s="783">
        <f t="shared" si="3"/>
        <v>160382000</v>
      </c>
      <c r="D23" s="783">
        <v>5630000</v>
      </c>
      <c r="E23" s="783">
        <v>21840000</v>
      </c>
      <c r="F23" s="783">
        <v>10000000</v>
      </c>
      <c r="G23" s="783">
        <v>15000000</v>
      </c>
      <c r="H23" s="783">
        <v>3000000</v>
      </c>
      <c r="I23" s="783">
        <v>16000000</v>
      </c>
      <c r="J23" s="783">
        <v>45000000</v>
      </c>
      <c r="K23" s="783">
        <v>10742000</v>
      </c>
      <c r="L23" s="783">
        <v>10000000</v>
      </c>
      <c r="M23" s="783">
        <v>19170000</v>
      </c>
      <c r="N23" s="783">
        <v>0</v>
      </c>
      <c r="O23" s="783">
        <v>4000000</v>
      </c>
    </row>
    <row r="24" spans="1:15" s="784" customFormat="1" ht="51">
      <c r="A24" s="773" t="s">
        <v>809</v>
      </c>
      <c r="B24" s="777" t="s">
        <v>24</v>
      </c>
      <c r="C24" s="783">
        <f t="shared" si="3"/>
        <v>155209000</v>
      </c>
      <c r="D24" s="783">
        <v>41950000</v>
      </c>
      <c r="E24" s="783">
        <v>20200000</v>
      </c>
      <c r="F24" s="783">
        <v>11059000</v>
      </c>
      <c r="G24" s="783">
        <v>9000000</v>
      </c>
      <c r="H24" s="783">
        <v>11000000</v>
      </c>
      <c r="I24" s="783">
        <v>8000000</v>
      </c>
      <c r="J24" s="783">
        <v>12000000</v>
      </c>
      <c r="K24" s="783">
        <v>15000000</v>
      </c>
      <c r="L24" s="783">
        <v>13000000</v>
      </c>
      <c r="M24" s="783">
        <v>0</v>
      </c>
      <c r="N24" s="783">
        <v>4000000</v>
      </c>
      <c r="O24" s="783">
        <v>10000000</v>
      </c>
    </row>
    <row r="25" spans="1:15" s="784" customFormat="1" ht="25.5">
      <c r="A25" s="773" t="s">
        <v>810</v>
      </c>
      <c r="B25" s="777" t="s">
        <v>23</v>
      </c>
      <c r="C25" s="783">
        <f t="shared" si="3"/>
        <v>227100000</v>
      </c>
      <c r="D25" s="783">
        <v>41840000</v>
      </c>
      <c r="E25" s="783">
        <v>43760000</v>
      </c>
      <c r="F25" s="783">
        <v>3000000</v>
      </c>
      <c r="G25" s="783">
        <v>14000000</v>
      </c>
      <c r="H25" s="783">
        <v>9000000</v>
      </c>
      <c r="I25" s="783">
        <v>12000000</v>
      </c>
      <c r="J25" s="783">
        <v>14000000</v>
      </c>
      <c r="K25" s="783">
        <v>23400000</v>
      </c>
      <c r="L25" s="783">
        <v>13000000</v>
      </c>
      <c r="M25" s="783">
        <v>34100000</v>
      </c>
      <c r="N25" s="783">
        <v>8000000</v>
      </c>
      <c r="O25" s="783">
        <v>11000000</v>
      </c>
    </row>
    <row r="26" spans="1:15">
      <c r="A26" s="761">
        <v>5</v>
      </c>
      <c r="B26" s="762" t="s">
        <v>780</v>
      </c>
      <c r="C26" s="757">
        <f t="shared" si="3"/>
        <v>1350335000</v>
      </c>
      <c r="D26" s="757">
        <v>97920000</v>
      </c>
      <c r="E26" s="757">
        <v>131699999.99999999</v>
      </c>
      <c r="F26" s="757">
        <v>28285000</v>
      </c>
      <c r="G26" s="757">
        <v>197000000</v>
      </c>
      <c r="H26" s="757">
        <v>49000000</v>
      </c>
      <c r="I26" s="757">
        <v>16000000</v>
      </c>
      <c r="J26" s="757">
        <v>190000000</v>
      </c>
      <c r="K26" s="757">
        <v>166430000</v>
      </c>
      <c r="L26" s="757">
        <v>375000000</v>
      </c>
      <c r="M26" s="757">
        <v>6000000</v>
      </c>
      <c r="N26" s="757">
        <v>19000000</v>
      </c>
      <c r="O26" s="757">
        <v>74000000</v>
      </c>
    </row>
    <row r="27" spans="1:15">
      <c r="A27" s="761">
        <v>6</v>
      </c>
      <c r="B27" s="762" t="s">
        <v>781</v>
      </c>
      <c r="C27" s="757">
        <f t="shared" si="3"/>
        <v>2600713975</v>
      </c>
      <c r="D27" s="757">
        <v>980180000</v>
      </c>
      <c r="E27" s="757">
        <v>114000000</v>
      </c>
      <c r="F27" s="757">
        <v>32000000</v>
      </c>
      <c r="G27" s="757">
        <v>124000000</v>
      </c>
      <c r="H27" s="757">
        <v>296000000</v>
      </c>
      <c r="I27" s="757">
        <v>39000000</v>
      </c>
      <c r="J27" s="757">
        <v>87433975</v>
      </c>
      <c r="K27" s="757">
        <v>164000000</v>
      </c>
      <c r="L27" s="757">
        <v>316000000</v>
      </c>
      <c r="M27" s="757">
        <v>202100000</v>
      </c>
      <c r="N27" s="757">
        <v>132000000</v>
      </c>
      <c r="O27" s="757">
        <v>114000000</v>
      </c>
    </row>
    <row r="28" spans="1:15" ht="25.5">
      <c r="A28" s="761">
        <v>7</v>
      </c>
      <c r="B28" s="762" t="s">
        <v>782</v>
      </c>
      <c r="C28" s="757">
        <f t="shared" si="3"/>
        <v>1432989000</v>
      </c>
      <c r="D28" s="757">
        <v>210650000</v>
      </c>
      <c r="E28" s="757">
        <v>40320000</v>
      </c>
      <c r="F28" s="757">
        <v>143565000</v>
      </c>
      <c r="G28" s="757">
        <v>56000000</v>
      </c>
      <c r="H28" s="757">
        <v>71000000</v>
      </c>
      <c r="I28" s="757">
        <v>49000000</v>
      </c>
      <c r="J28" s="757">
        <v>50000000</v>
      </c>
      <c r="K28" s="757">
        <v>78884000</v>
      </c>
      <c r="L28" s="757">
        <v>555000000</v>
      </c>
      <c r="M28" s="757">
        <v>41569999.999999993</v>
      </c>
      <c r="N28" s="757">
        <v>74000000</v>
      </c>
      <c r="O28" s="757">
        <v>63000000</v>
      </c>
    </row>
    <row r="29" spans="1:15">
      <c r="A29" s="763">
        <v>8</v>
      </c>
      <c r="B29" s="785" t="s">
        <v>783</v>
      </c>
      <c r="C29" s="757">
        <f t="shared" si="3"/>
        <v>508338000</v>
      </c>
      <c r="D29" s="757">
        <v>21850000</v>
      </c>
      <c r="E29" s="757">
        <v>64720000</v>
      </c>
      <c r="F29" s="757">
        <v>75980000</v>
      </c>
      <c r="G29" s="757">
        <v>7000000</v>
      </c>
      <c r="H29" s="757">
        <v>31000000</v>
      </c>
      <c r="I29" s="757">
        <v>10000000</v>
      </c>
      <c r="J29" s="757">
        <v>86000000</v>
      </c>
      <c r="K29" s="757">
        <v>44570000</v>
      </c>
      <c r="L29" s="757">
        <v>25000000</v>
      </c>
      <c r="M29" s="757">
        <v>78218000</v>
      </c>
      <c r="N29" s="757">
        <v>52000000</v>
      </c>
      <c r="O29" s="757">
        <v>12000000</v>
      </c>
    </row>
    <row r="30" spans="1:15" ht="25.5">
      <c r="A30" s="759">
        <v>9</v>
      </c>
      <c r="B30" s="765" t="s">
        <v>784</v>
      </c>
      <c r="C30" s="757">
        <f t="shared" si="3"/>
        <v>582882000</v>
      </c>
      <c r="D30" s="757">
        <v>190451000.00000003</v>
      </c>
      <c r="E30" s="757">
        <v>15200000</v>
      </c>
      <c r="F30" s="757">
        <v>9694000</v>
      </c>
      <c r="G30" s="757">
        <v>148600000</v>
      </c>
      <c r="H30" s="757">
        <v>27310000.000000004</v>
      </c>
      <c r="I30" s="757">
        <v>34286000</v>
      </c>
      <c r="J30" s="757">
        <v>47599000</v>
      </c>
      <c r="K30" s="757">
        <v>13380000</v>
      </c>
      <c r="L30" s="757">
        <v>28612000.000000004</v>
      </c>
      <c r="M30" s="757">
        <v>36430000</v>
      </c>
      <c r="N30" s="757">
        <v>9960000</v>
      </c>
      <c r="O30" s="757">
        <v>21360000</v>
      </c>
    </row>
    <row r="31" spans="1:15" ht="25.5">
      <c r="A31" s="763">
        <v>10</v>
      </c>
      <c r="B31" s="765" t="s">
        <v>785</v>
      </c>
      <c r="C31" s="757">
        <f t="shared" si="3"/>
        <v>365879000</v>
      </c>
      <c r="D31" s="757">
        <v>16160000</v>
      </c>
      <c r="E31" s="757">
        <v>7359000</v>
      </c>
      <c r="F31" s="757">
        <v>27080000</v>
      </c>
      <c r="G31" s="757">
        <v>42000000</v>
      </c>
      <c r="H31" s="757">
        <v>38000000</v>
      </c>
      <c r="I31" s="757">
        <v>15000000</v>
      </c>
      <c r="J31" s="757">
        <v>22000000</v>
      </c>
      <c r="K31" s="757">
        <v>31280000</v>
      </c>
      <c r="L31" s="757">
        <v>18000000</v>
      </c>
      <c r="M31" s="757">
        <v>73000000</v>
      </c>
      <c r="N31" s="757">
        <v>62000000</v>
      </c>
      <c r="O31" s="757">
        <v>14000000</v>
      </c>
    </row>
    <row r="32" spans="1:15">
      <c r="A32" s="759">
        <v>11</v>
      </c>
      <c r="B32" s="765" t="s">
        <v>786</v>
      </c>
      <c r="C32" s="757">
        <f t="shared" si="3"/>
        <v>2569166000</v>
      </c>
      <c r="D32" s="757">
        <v>96060000</v>
      </c>
      <c r="E32" s="757">
        <v>100000000</v>
      </c>
      <c r="F32" s="757">
        <v>212302000</v>
      </c>
      <c r="G32" s="757">
        <v>278000000</v>
      </c>
      <c r="H32" s="757">
        <v>123000000</v>
      </c>
      <c r="I32" s="757">
        <v>114000000</v>
      </c>
      <c r="J32" s="757">
        <v>575000000</v>
      </c>
      <c r="K32" s="757">
        <v>133924000</v>
      </c>
      <c r="L32" s="757">
        <v>530000000</v>
      </c>
      <c r="M32" s="757">
        <v>172880000</v>
      </c>
      <c r="N32" s="757">
        <v>155000000</v>
      </c>
      <c r="O32" s="757">
        <v>79000000</v>
      </c>
    </row>
    <row r="33" spans="1:15" ht="38.25">
      <c r="A33" s="763">
        <v>12</v>
      </c>
      <c r="B33" s="765" t="s">
        <v>787</v>
      </c>
      <c r="C33" s="757">
        <f t="shared" si="3"/>
        <v>227459000</v>
      </c>
      <c r="D33" s="757">
        <v>18030000</v>
      </c>
      <c r="E33" s="757">
        <v>18305000</v>
      </c>
      <c r="F33" s="757">
        <v>29214000</v>
      </c>
      <c r="G33" s="757">
        <v>29000000</v>
      </c>
      <c r="H33" s="757">
        <v>9000000</v>
      </c>
      <c r="I33" s="757">
        <v>16000000</v>
      </c>
      <c r="J33" s="757">
        <v>31000000</v>
      </c>
      <c r="K33" s="757">
        <v>23960000</v>
      </c>
      <c r="L33" s="757">
        <v>2000000</v>
      </c>
      <c r="M33" s="757">
        <v>34950000</v>
      </c>
      <c r="N33" s="757">
        <v>10000000</v>
      </c>
      <c r="O33" s="757">
        <v>6000000</v>
      </c>
    </row>
    <row r="34" spans="1:15">
      <c r="A34" s="759">
        <v>13</v>
      </c>
      <c r="B34" s="765" t="s">
        <v>33</v>
      </c>
      <c r="C34" s="757">
        <f t="shared" si="3"/>
        <v>471688000</v>
      </c>
      <c r="D34" s="757">
        <v>12040000</v>
      </c>
      <c r="E34" s="757">
        <v>73615000</v>
      </c>
      <c r="F34" s="757">
        <v>56863000</v>
      </c>
      <c r="G34" s="757">
        <v>44000000</v>
      </c>
      <c r="H34" s="757">
        <v>7000000</v>
      </c>
      <c r="I34" s="757">
        <v>10000000</v>
      </c>
      <c r="J34" s="757">
        <v>10000000</v>
      </c>
      <c r="K34" s="757">
        <v>32000000</v>
      </c>
      <c r="L34" s="757">
        <v>10000000</v>
      </c>
      <c r="M34" s="757">
        <v>117170000</v>
      </c>
      <c r="N34" s="757">
        <v>73000000</v>
      </c>
      <c r="O34" s="757">
        <v>26000000</v>
      </c>
    </row>
    <row r="35" spans="1:15">
      <c r="A35" s="763">
        <v>14</v>
      </c>
      <c r="B35" s="765" t="s">
        <v>788</v>
      </c>
      <c r="C35" s="757">
        <f t="shared" si="3"/>
        <v>711000000</v>
      </c>
      <c r="D35" s="757">
        <v>178000000</v>
      </c>
      <c r="E35" s="757">
        <v>155000000</v>
      </c>
      <c r="F35" s="757">
        <v>9000000</v>
      </c>
      <c r="G35" s="757">
        <v>38000000</v>
      </c>
      <c r="H35" s="757">
        <v>51000000</v>
      </c>
      <c r="I35" s="757">
        <v>20000000</v>
      </c>
      <c r="J35" s="757">
        <v>3000000</v>
      </c>
      <c r="K35" s="757">
        <v>89000000</v>
      </c>
      <c r="L35" s="757">
        <v>46000000</v>
      </c>
      <c r="M35" s="757">
        <v>34000000</v>
      </c>
      <c r="N35" s="757">
        <v>61000000</v>
      </c>
      <c r="O35" s="757">
        <v>27000000</v>
      </c>
    </row>
    <row r="36" spans="1:15">
      <c r="A36" s="759">
        <v>15</v>
      </c>
      <c r="B36" s="765" t="s">
        <v>789</v>
      </c>
      <c r="C36" s="757">
        <f t="shared" si="3"/>
        <v>0</v>
      </c>
      <c r="D36" s="757">
        <v>0</v>
      </c>
      <c r="E36" s="757">
        <v>0</v>
      </c>
      <c r="F36" s="757">
        <v>0</v>
      </c>
      <c r="G36" s="757">
        <v>0</v>
      </c>
      <c r="H36" s="757">
        <v>0</v>
      </c>
      <c r="I36" s="757">
        <v>0</v>
      </c>
      <c r="J36" s="757">
        <v>0</v>
      </c>
      <c r="K36" s="757">
        <v>0</v>
      </c>
      <c r="L36" s="757">
        <v>0</v>
      </c>
      <c r="M36" s="757">
        <v>0</v>
      </c>
      <c r="N36" s="757">
        <v>0</v>
      </c>
      <c r="O36" s="757">
        <v>0</v>
      </c>
    </row>
    <row r="37" spans="1:15">
      <c r="A37" s="763">
        <v>16</v>
      </c>
      <c r="B37" s="765" t="s">
        <v>790</v>
      </c>
      <c r="C37" s="757">
        <f t="shared" si="3"/>
        <v>0</v>
      </c>
      <c r="D37" s="757">
        <v>0</v>
      </c>
      <c r="E37" s="757">
        <v>0</v>
      </c>
      <c r="F37" s="757">
        <v>0</v>
      </c>
      <c r="G37" s="757">
        <v>0</v>
      </c>
      <c r="H37" s="757">
        <v>0</v>
      </c>
      <c r="I37" s="757">
        <v>0</v>
      </c>
      <c r="J37" s="757">
        <v>0</v>
      </c>
      <c r="K37" s="757">
        <v>0</v>
      </c>
      <c r="L37" s="757">
        <v>0</v>
      </c>
      <c r="M37" s="757">
        <v>0</v>
      </c>
      <c r="N37" s="757">
        <v>0</v>
      </c>
      <c r="O37" s="757">
        <v>0</v>
      </c>
    </row>
    <row r="38" spans="1:15">
      <c r="A38" s="759">
        <v>17</v>
      </c>
      <c r="B38" s="786" t="s">
        <v>791</v>
      </c>
      <c r="C38" s="757">
        <f t="shared" si="3"/>
        <v>0</v>
      </c>
      <c r="D38" s="757">
        <v>0</v>
      </c>
      <c r="E38" s="757">
        <v>0</v>
      </c>
      <c r="F38" s="757">
        <v>0</v>
      </c>
      <c r="G38" s="757">
        <v>0</v>
      </c>
      <c r="H38" s="757">
        <v>0</v>
      </c>
      <c r="I38" s="757">
        <v>0</v>
      </c>
      <c r="J38" s="757">
        <v>0</v>
      </c>
      <c r="K38" s="757">
        <v>0</v>
      </c>
      <c r="L38" s="757">
        <v>0</v>
      </c>
      <c r="M38" s="757">
        <v>0</v>
      </c>
      <c r="N38" s="757">
        <v>0</v>
      </c>
      <c r="O38" s="757">
        <v>0</v>
      </c>
    </row>
    <row r="39" spans="1:15">
      <c r="A39" s="763">
        <v>18</v>
      </c>
      <c r="B39" s="765" t="s">
        <v>559</v>
      </c>
      <c r="C39" s="757">
        <f t="shared" si="3"/>
        <v>8065000000</v>
      </c>
      <c r="D39" s="757">
        <f>SUM(D40:D42)</f>
        <v>856000000</v>
      </c>
      <c r="E39" s="757">
        <f t="shared" ref="E39:O39" si="7">SUM(E40:E42)</f>
        <v>231000000</v>
      </c>
      <c r="F39" s="757">
        <f t="shared" si="7"/>
        <v>637000000</v>
      </c>
      <c r="G39" s="757">
        <f t="shared" si="7"/>
        <v>1164000000</v>
      </c>
      <c r="H39" s="757">
        <f t="shared" si="7"/>
        <v>899000000</v>
      </c>
      <c r="I39" s="757">
        <f t="shared" si="7"/>
        <v>521000000</v>
      </c>
      <c r="J39" s="757">
        <f t="shared" si="7"/>
        <v>1088000000</v>
      </c>
      <c r="K39" s="757">
        <f t="shared" si="7"/>
        <v>726000000</v>
      </c>
      <c r="L39" s="757">
        <f t="shared" si="7"/>
        <v>725000000</v>
      </c>
      <c r="M39" s="757">
        <f t="shared" si="7"/>
        <v>348000000</v>
      </c>
      <c r="N39" s="757">
        <f t="shared" si="7"/>
        <v>485000000</v>
      </c>
      <c r="O39" s="757">
        <f t="shared" si="7"/>
        <v>385000000</v>
      </c>
    </row>
    <row r="40" spans="1:15" s="784" customFormat="1" ht="25.5">
      <c r="A40" s="773" t="s">
        <v>806</v>
      </c>
      <c r="B40" s="768" t="s">
        <v>792</v>
      </c>
      <c r="C40" s="783">
        <f t="shared" si="3"/>
        <v>3448000000</v>
      </c>
      <c r="D40" s="783">
        <v>316000000</v>
      </c>
      <c r="E40" s="783">
        <v>153000000</v>
      </c>
      <c r="F40" s="783">
        <v>286000000</v>
      </c>
      <c r="G40" s="783">
        <v>546000000</v>
      </c>
      <c r="H40" s="783">
        <v>338000000</v>
      </c>
      <c r="I40" s="783">
        <v>294000000</v>
      </c>
      <c r="J40" s="783">
        <v>447000000</v>
      </c>
      <c r="K40" s="783">
        <v>217000000</v>
      </c>
      <c r="L40" s="783">
        <v>230000000</v>
      </c>
      <c r="M40" s="783">
        <v>179000000</v>
      </c>
      <c r="N40" s="783">
        <v>262000000</v>
      </c>
      <c r="O40" s="783">
        <v>180000000</v>
      </c>
    </row>
    <row r="41" spans="1:15" s="784" customFormat="1" ht="25.5">
      <c r="A41" s="773" t="s">
        <v>807</v>
      </c>
      <c r="B41" s="768" t="s">
        <v>793</v>
      </c>
      <c r="C41" s="783">
        <f t="shared" si="3"/>
        <v>4477000000</v>
      </c>
      <c r="D41" s="783">
        <v>540000000</v>
      </c>
      <c r="E41" s="783">
        <v>68000000</v>
      </c>
      <c r="F41" s="783">
        <v>321000000</v>
      </c>
      <c r="G41" s="783">
        <v>598000000</v>
      </c>
      <c r="H41" s="783">
        <v>531000000</v>
      </c>
      <c r="I41" s="783">
        <v>197000000</v>
      </c>
      <c r="J41" s="783">
        <v>621000000</v>
      </c>
      <c r="K41" s="783">
        <v>509000000</v>
      </c>
      <c r="L41" s="783">
        <v>495000000</v>
      </c>
      <c r="M41" s="783">
        <v>169000000</v>
      </c>
      <c r="N41" s="783">
        <v>223000000</v>
      </c>
      <c r="O41" s="783">
        <v>205000000</v>
      </c>
    </row>
    <row r="42" spans="1:15" s="784" customFormat="1" ht="63.75">
      <c r="A42" s="773" t="s">
        <v>808</v>
      </c>
      <c r="B42" s="768" t="s">
        <v>156</v>
      </c>
      <c r="C42" s="783">
        <f t="shared" si="3"/>
        <v>140000000</v>
      </c>
      <c r="D42" s="783">
        <v>0</v>
      </c>
      <c r="E42" s="783">
        <v>10000000</v>
      </c>
      <c r="F42" s="783">
        <v>30000000</v>
      </c>
      <c r="G42" s="783">
        <v>20000000</v>
      </c>
      <c r="H42" s="783">
        <v>30000000</v>
      </c>
      <c r="I42" s="783">
        <v>30000000</v>
      </c>
      <c r="J42" s="783">
        <v>20000000</v>
      </c>
      <c r="K42" s="783">
        <v>0</v>
      </c>
      <c r="L42" s="783">
        <v>0</v>
      </c>
      <c r="M42" s="783">
        <v>0</v>
      </c>
      <c r="N42" s="783">
        <v>0</v>
      </c>
      <c r="O42" s="783">
        <v>0</v>
      </c>
    </row>
    <row r="43" spans="1:15">
      <c r="A43" s="759">
        <v>19</v>
      </c>
      <c r="B43" s="765" t="s">
        <v>794</v>
      </c>
      <c r="C43" s="757">
        <f t="shared" si="3"/>
        <v>4572171000</v>
      </c>
      <c r="D43" s="757">
        <f>SUM(D44:D47)</f>
        <v>850091000</v>
      </c>
      <c r="E43" s="757">
        <f t="shared" ref="E43:O43" si="8">SUM(E44:E47)</f>
        <v>55000000</v>
      </c>
      <c r="F43" s="757">
        <f t="shared" si="8"/>
        <v>218000000</v>
      </c>
      <c r="G43" s="757">
        <f t="shared" si="8"/>
        <v>561200000</v>
      </c>
      <c r="H43" s="757">
        <f t="shared" si="8"/>
        <v>403880000</v>
      </c>
      <c r="I43" s="757">
        <f t="shared" si="8"/>
        <v>201700000</v>
      </c>
      <c r="J43" s="757">
        <f t="shared" si="8"/>
        <v>385780000</v>
      </c>
      <c r="K43" s="757">
        <f t="shared" si="8"/>
        <v>290000000</v>
      </c>
      <c r="L43" s="757">
        <f t="shared" si="8"/>
        <v>488520000</v>
      </c>
      <c r="M43" s="757">
        <f t="shared" si="8"/>
        <v>235000000</v>
      </c>
      <c r="N43" s="757">
        <f t="shared" si="8"/>
        <v>470000000</v>
      </c>
      <c r="O43" s="757">
        <f t="shared" si="8"/>
        <v>413000000</v>
      </c>
    </row>
    <row r="44" spans="1:15" s="784" customFormat="1" ht="25.5">
      <c r="A44" s="773" t="s">
        <v>806</v>
      </c>
      <c r="B44" s="768" t="s">
        <v>795</v>
      </c>
      <c r="C44" s="783">
        <f t="shared" si="3"/>
        <v>3681051000</v>
      </c>
      <c r="D44" s="783">
        <v>532050999.99999994</v>
      </c>
      <c r="E44" s="783">
        <v>0</v>
      </c>
      <c r="F44" s="783">
        <v>167000000</v>
      </c>
      <c r="G44" s="783">
        <v>538000000</v>
      </c>
      <c r="H44" s="783">
        <v>324000000</v>
      </c>
      <c r="I44" s="783">
        <v>137000000</v>
      </c>
      <c r="J44" s="783">
        <v>333000000</v>
      </c>
      <c r="K44" s="783">
        <v>264000000</v>
      </c>
      <c r="L44" s="783">
        <v>445000000</v>
      </c>
      <c r="M44" s="783">
        <v>208000000</v>
      </c>
      <c r="N44" s="783">
        <v>396000000</v>
      </c>
      <c r="O44" s="783">
        <v>337000000</v>
      </c>
    </row>
    <row r="45" spans="1:15" s="784" customFormat="1" ht="25.5">
      <c r="A45" s="773" t="s">
        <v>807</v>
      </c>
      <c r="B45" s="768" t="s">
        <v>796</v>
      </c>
      <c r="C45" s="783">
        <f t="shared" si="3"/>
        <v>645000000</v>
      </c>
      <c r="D45" s="783">
        <v>262000000</v>
      </c>
      <c r="E45" s="783">
        <v>43000000</v>
      </c>
      <c r="F45" s="783">
        <v>41000000</v>
      </c>
      <c r="G45" s="783">
        <v>5000000</v>
      </c>
      <c r="H45" s="783">
        <v>31000000</v>
      </c>
      <c r="I45" s="783">
        <v>40000000</v>
      </c>
      <c r="J45" s="783">
        <v>33000000</v>
      </c>
      <c r="K45" s="783">
        <v>16000000</v>
      </c>
      <c r="L45" s="783">
        <v>30000000</v>
      </c>
      <c r="M45" s="783">
        <v>17000000</v>
      </c>
      <c r="N45" s="783">
        <v>61000000</v>
      </c>
      <c r="O45" s="783">
        <v>66000000</v>
      </c>
    </row>
    <row r="46" spans="1:15" s="784" customFormat="1" ht="25.5">
      <c r="A46" s="773" t="s">
        <v>808</v>
      </c>
      <c r="B46" s="768" t="s">
        <v>797</v>
      </c>
      <c r="C46" s="783">
        <f t="shared" si="3"/>
        <v>185000000</v>
      </c>
      <c r="D46" s="783">
        <v>35000000</v>
      </c>
      <c r="E46" s="783">
        <v>8000000</v>
      </c>
      <c r="F46" s="783">
        <v>10000000</v>
      </c>
      <c r="G46" s="783">
        <v>11000000</v>
      </c>
      <c r="H46" s="783">
        <v>46000000</v>
      </c>
      <c r="I46" s="783">
        <v>9000000</v>
      </c>
      <c r="J46" s="783">
        <v>12000000</v>
      </c>
      <c r="K46" s="783">
        <v>10000000</v>
      </c>
      <c r="L46" s="783">
        <v>11000000</v>
      </c>
      <c r="M46" s="783">
        <v>10000000</v>
      </c>
      <c r="N46" s="783">
        <v>13000000</v>
      </c>
      <c r="O46" s="783">
        <v>10000000</v>
      </c>
    </row>
    <row r="47" spans="1:15" s="784" customFormat="1" ht="63.75">
      <c r="A47" s="773" t="s">
        <v>809</v>
      </c>
      <c r="B47" s="768" t="s">
        <v>798</v>
      </c>
      <c r="C47" s="783">
        <f t="shared" si="3"/>
        <v>61120000</v>
      </c>
      <c r="D47" s="783">
        <v>21040000</v>
      </c>
      <c r="E47" s="783">
        <v>4000000</v>
      </c>
      <c r="F47" s="783">
        <v>0</v>
      </c>
      <c r="G47" s="783">
        <v>7200000</v>
      </c>
      <c r="H47" s="783">
        <v>2880000</v>
      </c>
      <c r="I47" s="783">
        <v>15700000</v>
      </c>
      <c r="J47" s="783">
        <v>7780000</v>
      </c>
      <c r="K47" s="783">
        <v>0</v>
      </c>
      <c r="L47" s="783">
        <v>2520000</v>
      </c>
      <c r="M47" s="783">
        <v>0</v>
      </c>
      <c r="N47" s="783">
        <v>0</v>
      </c>
      <c r="O47" s="783">
        <v>0</v>
      </c>
    </row>
    <row r="48" spans="1:15">
      <c r="A48" s="759">
        <v>20</v>
      </c>
      <c r="B48" s="765" t="s">
        <v>799</v>
      </c>
      <c r="C48" s="757">
        <f t="shared" si="3"/>
        <v>3235700000</v>
      </c>
      <c r="D48" s="757">
        <f>SUM(D49:D52)</f>
        <v>76000000</v>
      </c>
      <c r="E48" s="757">
        <f t="shared" ref="E48:O48" si="9">SUM(E49:E52)</f>
        <v>50000000</v>
      </c>
      <c r="F48" s="757">
        <f t="shared" si="9"/>
        <v>20700000</v>
      </c>
      <c r="G48" s="757">
        <f t="shared" si="9"/>
        <v>448000000</v>
      </c>
      <c r="H48" s="757">
        <f t="shared" si="9"/>
        <v>305000000</v>
      </c>
      <c r="I48" s="757">
        <f t="shared" si="9"/>
        <v>266000000</v>
      </c>
      <c r="J48" s="757">
        <f t="shared" si="9"/>
        <v>268000000</v>
      </c>
      <c r="K48" s="757">
        <f t="shared" si="9"/>
        <v>237000000</v>
      </c>
      <c r="L48" s="757">
        <f t="shared" si="9"/>
        <v>883000000</v>
      </c>
      <c r="M48" s="757">
        <f t="shared" si="9"/>
        <v>213000000</v>
      </c>
      <c r="N48" s="757">
        <f t="shared" si="9"/>
        <v>82000000</v>
      </c>
      <c r="O48" s="757">
        <f t="shared" si="9"/>
        <v>387000000</v>
      </c>
    </row>
    <row r="49" spans="1:15" s="784" customFormat="1" ht="38.25">
      <c r="A49" s="773" t="s">
        <v>806</v>
      </c>
      <c r="B49" s="768" t="s">
        <v>800</v>
      </c>
      <c r="C49" s="783">
        <f t="shared" si="3"/>
        <v>2947000000</v>
      </c>
      <c r="D49" s="783">
        <v>60000000</v>
      </c>
      <c r="E49" s="783">
        <v>0</v>
      </c>
      <c r="F49" s="783">
        <v>14000000</v>
      </c>
      <c r="G49" s="783">
        <v>411000000</v>
      </c>
      <c r="H49" s="783">
        <v>241000000</v>
      </c>
      <c r="I49" s="783">
        <v>243000000</v>
      </c>
      <c r="J49" s="783">
        <v>250000000</v>
      </c>
      <c r="K49" s="783">
        <v>223000000</v>
      </c>
      <c r="L49" s="783">
        <v>870000000</v>
      </c>
      <c r="M49" s="783">
        <v>203000000</v>
      </c>
      <c r="N49" s="783">
        <v>75000000</v>
      </c>
      <c r="O49" s="783">
        <v>357000000</v>
      </c>
    </row>
    <row r="50" spans="1:15" s="784" customFormat="1" ht="25.5">
      <c r="A50" s="773" t="s">
        <v>807</v>
      </c>
      <c r="B50" s="768" t="s">
        <v>801</v>
      </c>
      <c r="C50" s="783">
        <f t="shared" si="3"/>
        <v>137000000</v>
      </c>
      <c r="D50" s="783">
        <v>6000000</v>
      </c>
      <c r="E50" s="783">
        <v>45000000</v>
      </c>
      <c r="F50" s="783">
        <v>0</v>
      </c>
      <c r="G50" s="783">
        <v>22000000</v>
      </c>
      <c r="H50" s="783">
        <v>48000000</v>
      </c>
      <c r="I50" s="783">
        <v>0</v>
      </c>
      <c r="J50" s="783">
        <v>0</v>
      </c>
      <c r="K50" s="783">
        <v>0</v>
      </c>
      <c r="L50" s="783">
        <v>0</v>
      </c>
      <c r="M50" s="783">
        <v>0</v>
      </c>
      <c r="N50" s="783">
        <v>0</v>
      </c>
      <c r="O50" s="783">
        <v>16000000</v>
      </c>
    </row>
    <row r="51" spans="1:15" s="784" customFormat="1" ht="38.25">
      <c r="A51" s="773" t="s">
        <v>808</v>
      </c>
      <c r="B51" s="768" t="s">
        <v>802</v>
      </c>
      <c r="C51" s="783">
        <f t="shared" si="3"/>
        <v>112000000</v>
      </c>
      <c r="D51" s="783">
        <v>10000000</v>
      </c>
      <c r="E51" s="783">
        <v>1000000</v>
      </c>
      <c r="F51" s="783">
        <v>5000000</v>
      </c>
      <c r="G51" s="783">
        <v>13000000</v>
      </c>
      <c r="H51" s="783">
        <v>12000000</v>
      </c>
      <c r="I51" s="783">
        <v>7000000</v>
      </c>
      <c r="J51" s="783">
        <v>18000000</v>
      </c>
      <c r="K51" s="783">
        <v>14000000</v>
      </c>
      <c r="L51" s="783">
        <v>11000000</v>
      </c>
      <c r="M51" s="783">
        <v>8000000</v>
      </c>
      <c r="N51" s="783">
        <v>5000000</v>
      </c>
      <c r="O51" s="783">
        <v>8000000</v>
      </c>
    </row>
    <row r="52" spans="1:15" s="784" customFormat="1" ht="63.75">
      <c r="A52" s="773" t="s">
        <v>809</v>
      </c>
      <c r="B52" s="768" t="s">
        <v>803</v>
      </c>
      <c r="C52" s="783">
        <f t="shared" si="3"/>
        <v>39700000</v>
      </c>
      <c r="D52" s="783">
        <v>0</v>
      </c>
      <c r="E52" s="783">
        <v>4000000</v>
      </c>
      <c r="F52" s="783">
        <v>1700000</v>
      </c>
      <c r="G52" s="783">
        <v>2000000</v>
      </c>
      <c r="H52" s="783">
        <v>4000000</v>
      </c>
      <c r="I52" s="783">
        <v>16000000</v>
      </c>
      <c r="J52" s="783">
        <v>0</v>
      </c>
      <c r="K52" s="783">
        <v>0</v>
      </c>
      <c r="L52" s="783">
        <v>2000000</v>
      </c>
      <c r="M52" s="783">
        <v>2000000</v>
      </c>
      <c r="N52" s="783">
        <v>2000000</v>
      </c>
      <c r="O52" s="783">
        <v>6000000</v>
      </c>
    </row>
  </sheetData>
  <mergeCells count="1">
    <mergeCell ref="A1:G1"/>
  </mergeCells>
  <pageMargins left="0.70866141732283472" right="0.70866141732283472" top="0.74803149606299213" bottom="0.74803149606299213" header="0.31496062992125984" footer="0.31496062992125984"/>
  <pageSetup paperSize="9" scale="45" orientation="landscape"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D6" sqref="D6"/>
    </sheetView>
  </sheetViews>
  <sheetFormatPr defaultRowHeight="15.75"/>
  <cols>
    <col min="1" max="1" width="5.5703125" style="686" customWidth="1"/>
    <col min="2" max="2" width="29.140625" style="686" customWidth="1"/>
    <col min="3" max="3" width="21.140625" style="686" bestFit="1" customWidth="1"/>
    <col min="4" max="4" width="19.5703125" style="686" customWidth="1"/>
    <col min="5" max="5" width="21.140625" style="686" bestFit="1" customWidth="1"/>
    <col min="6" max="6" width="13" style="686" customWidth="1"/>
    <col min="7" max="7" width="20.42578125" style="686" bestFit="1" customWidth="1"/>
    <col min="8" max="8" width="20.42578125" style="686" customWidth="1"/>
    <col min="9" max="9" width="21.140625" style="686" bestFit="1" customWidth="1"/>
    <col min="10" max="10" width="21" style="686" customWidth="1"/>
    <col min="11" max="16384" width="9.140625" style="686"/>
  </cols>
  <sheetData>
    <row r="1" spans="1:10" ht="18.75">
      <c r="A1" s="2001" t="s">
        <v>745</v>
      </c>
      <c r="B1" s="2001"/>
      <c r="C1" s="2001"/>
      <c r="D1" s="2001"/>
      <c r="E1" s="2001"/>
      <c r="F1" s="2001"/>
      <c r="G1" s="2001"/>
      <c r="H1" s="2001"/>
      <c r="I1" s="2001"/>
    </row>
    <row r="2" spans="1:10" ht="18.75">
      <c r="A2" s="685"/>
      <c r="B2" s="685"/>
      <c r="C2" s="685"/>
      <c r="D2" s="685"/>
      <c r="E2" s="685"/>
      <c r="F2" s="685"/>
      <c r="G2" s="685" t="s">
        <v>746</v>
      </c>
      <c r="H2" s="685"/>
      <c r="I2" s="685"/>
    </row>
    <row r="3" spans="1:10" ht="18.75">
      <c r="A3" s="2000" t="s">
        <v>309</v>
      </c>
      <c r="B3" s="2000" t="s">
        <v>739</v>
      </c>
      <c r="C3" s="2000" t="s">
        <v>740</v>
      </c>
      <c r="D3" s="2004" t="s">
        <v>742</v>
      </c>
      <c r="E3" s="2004" t="s">
        <v>741</v>
      </c>
      <c r="F3" s="2000" t="s">
        <v>743</v>
      </c>
      <c r="G3" s="2000"/>
      <c r="H3" s="2005" t="s">
        <v>858</v>
      </c>
      <c r="I3" s="2002" t="s">
        <v>747</v>
      </c>
    </row>
    <row r="4" spans="1:10" s="690" customFormat="1" ht="75">
      <c r="A4" s="2000"/>
      <c r="B4" s="2000"/>
      <c r="C4" s="2000"/>
      <c r="D4" s="2004"/>
      <c r="E4" s="2004"/>
      <c r="F4" s="788" t="s">
        <v>744</v>
      </c>
      <c r="G4" s="1455" t="s">
        <v>857</v>
      </c>
      <c r="H4" s="2006"/>
      <c r="I4" s="2003"/>
    </row>
    <row r="5" spans="1:10" ht="19.5" thickBot="1">
      <c r="A5" s="789">
        <v>1</v>
      </c>
      <c r="B5" s="790" t="s">
        <v>727</v>
      </c>
      <c r="C5" s="791">
        <f>D5+E5</f>
        <v>3738500000</v>
      </c>
      <c r="D5" s="792">
        <v>47700000</v>
      </c>
      <c r="E5" s="792">
        <v>3690800000</v>
      </c>
      <c r="F5" s="1457">
        <v>300</v>
      </c>
      <c r="G5" s="1458">
        <v>1800000</v>
      </c>
      <c r="H5" s="1458">
        <v>540000000</v>
      </c>
      <c r="I5" s="793">
        <f>E5-H5</f>
        <v>3150800000</v>
      </c>
      <c r="J5" s="1463">
        <f>I5/1000</f>
        <v>3150800</v>
      </c>
    </row>
    <row r="6" spans="1:10" ht="38.25" thickBot="1">
      <c r="A6" s="789">
        <v>2</v>
      </c>
      <c r="B6" s="790" t="s">
        <v>728</v>
      </c>
      <c r="C6" s="791">
        <f t="shared" ref="C6:C16" si="0">D6+E6</f>
        <v>633500000</v>
      </c>
      <c r="D6" s="792">
        <v>47700000</v>
      </c>
      <c r="E6" s="792">
        <v>585800000</v>
      </c>
      <c r="F6" s="1457">
        <v>38</v>
      </c>
      <c r="G6" s="1458">
        <v>1800000</v>
      </c>
      <c r="H6" s="1458">
        <v>68400000</v>
      </c>
      <c r="I6" s="793">
        <f t="shared" ref="I6:I16" si="1">E6-H6</f>
        <v>517400000</v>
      </c>
      <c r="J6" s="1463">
        <f t="shared" ref="J6:J16" si="2">I6/1000</f>
        <v>517400</v>
      </c>
    </row>
    <row r="7" spans="1:10" ht="38.25" thickBot="1">
      <c r="A7" s="789">
        <v>3</v>
      </c>
      <c r="B7" s="790" t="s">
        <v>729</v>
      </c>
      <c r="C7" s="791">
        <f t="shared" si="0"/>
        <v>3026500000</v>
      </c>
      <c r="D7" s="792">
        <v>47700000</v>
      </c>
      <c r="E7" s="792">
        <v>2978800000</v>
      </c>
      <c r="F7" s="1457">
        <v>178</v>
      </c>
      <c r="G7" s="1458">
        <v>1800000</v>
      </c>
      <c r="H7" s="1458">
        <v>320400000</v>
      </c>
      <c r="I7" s="793">
        <f t="shared" si="1"/>
        <v>2658400000</v>
      </c>
      <c r="J7" s="1463">
        <f t="shared" si="2"/>
        <v>2658400</v>
      </c>
    </row>
    <row r="8" spans="1:10" ht="38.25" thickBot="1">
      <c r="A8" s="789">
        <v>4</v>
      </c>
      <c r="B8" s="790" t="s">
        <v>730</v>
      </c>
      <c r="C8" s="791">
        <f t="shared" si="0"/>
        <v>3037500000</v>
      </c>
      <c r="D8" s="792">
        <v>47700000</v>
      </c>
      <c r="E8" s="792">
        <v>2989800000</v>
      </c>
      <c r="F8" s="1457">
        <v>332</v>
      </c>
      <c r="G8" s="1458">
        <v>1800000</v>
      </c>
      <c r="H8" s="1458">
        <v>597600000</v>
      </c>
      <c r="I8" s="793">
        <f t="shared" si="1"/>
        <v>2392200000</v>
      </c>
      <c r="J8" s="1463">
        <f t="shared" si="2"/>
        <v>2392200</v>
      </c>
    </row>
    <row r="9" spans="1:10" ht="19.5" thickBot="1">
      <c r="A9" s="789">
        <v>5</v>
      </c>
      <c r="B9" s="790" t="s">
        <v>731</v>
      </c>
      <c r="C9" s="791">
        <f t="shared" si="0"/>
        <v>3208500000</v>
      </c>
      <c r="D9" s="792">
        <v>47700000</v>
      </c>
      <c r="E9" s="792">
        <v>3160800000</v>
      </c>
      <c r="F9" s="1457">
        <v>295</v>
      </c>
      <c r="G9" s="1458">
        <v>1800000</v>
      </c>
      <c r="H9" s="1458">
        <v>531000000</v>
      </c>
      <c r="I9" s="793">
        <f t="shared" si="1"/>
        <v>2629800000</v>
      </c>
      <c r="J9" s="1463">
        <f t="shared" si="2"/>
        <v>2629800</v>
      </c>
    </row>
    <row r="10" spans="1:10" ht="38.25" thickBot="1">
      <c r="A10" s="789">
        <v>6</v>
      </c>
      <c r="B10" s="790" t="s">
        <v>732</v>
      </c>
      <c r="C10" s="791">
        <f t="shared" si="0"/>
        <v>1386000000</v>
      </c>
      <c r="D10" s="792">
        <v>47700000</v>
      </c>
      <c r="E10" s="792">
        <v>1338300000</v>
      </c>
      <c r="F10" s="1457">
        <v>109</v>
      </c>
      <c r="G10" s="1458">
        <v>1800000</v>
      </c>
      <c r="H10" s="1458">
        <v>196200000</v>
      </c>
      <c r="I10" s="793">
        <f t="shared" si="1"/>
        <v>1142100000</v>
      </c>
      <c r="J10" s="1463">
        <f t="shared" si="2"/>
        <v>1142100</v>
      </c>
    </row>
    <row r="11" spans="1:10" ht="19.5" thickBot="1">
      <c r="A11" s="789">
        <v>7</v>
      </c>
      <c r="B11" s="790" t="s">
        <v>733</v>
      </c>
      <c r="C11" s="791">
        <f t="shared" si="0"/>
        <v>2969000000</v>
      </c>
      <c r="D11" s="792">
        <v>47700000</v>
      </c>
      <c r="E11" s="792">
        <v>2921300000</v>
      </c>
      <c r="F11" s="1457">
        <v>345</v>
      </c>
      <c r="G11" s="1458">
        <v>1800000</v>
      </c>
      <c r="H11" s="1458">
        <v>621000000</v>
      </c>
      <c r="I11" s="793">
        <f t="shared" si="1"/>
        <v>2300300000</v>
      </c>
      <c r="J11" s="1463">
        <f t="shared" si="2"/>
        <v>2300300</v>
      </c>
    </row>
    <row r="12" spans="1:10" ht="19.5" thickBot="1">
      <c r="A12" s="789">
        <v>8</v>
      </c>
      <c r="B12" s="794" t="s">
        <v>734</v>
      </c>
      <c r="C12" s="791">
        <f t="shared" si="0"/>
        <v>2819700000</v>
      </c>
      <c r="D12" s="792">
        <v>47700000</v>
      </c>
      <c r="E12" s="792">
        <v>2772000000</v>
      </c>
      <c r="F12" s="1457">
        <v>283</v>
      </c>
      <c r="G12" s="1458">
        <v>1800000</v>
      </c>
      <c r="H12" s="1458">
        <v>509400000</v>
      </c>
      <c r="I12" s="793">
        <f t="shared" si="1"/>
        <v>2262600000</v>
      </c>
      <c r="J12" s="1463">
        <f t="shared" si="2"/>
        <v>2262600</v>
      </c>
    </row>
    <row r="13" spans="1:10" ht="19.5" thickBot="1">
      <c r="A13" s="789">
        <v>9</v>
      </c>
      <c r="B13" s="790" t="s">
        <v>735</v>
      </c>
      <c r="C13" s="791">
        <f t="shared" si="0"/>
        <v>3239000000</v>
      </c>
      <c r="D13" s="792">
        <v>47700000</v>
      </c>
      <c r="E13" s="792">
        <v>3191300000</v>
      </c>
      <c r="F13" s="1457">
        <v>275</v>
      </c>
      <c r="G13" s="1458">
        <v>1800000</v>
      </c>
      <c r="H13" s="1458">
        <v>495000000</v>
      </c>
      <c r="I13" s="793">
        <f t="shared" si="1"/>
        <v>2696300000</v>
      </c>
      <c r="J13" s="1463">
        <f t="shared" si="2"/>
        <v>2696300</v>
      </c>
    </row>
    <row r="14" spans="1:10" ht="19.5" thickBot="1">
      <c r="A14" s="789">
        <v>10</v>
      </c>
      <c r="B14" s="790" t="s">
        <v>736</v>
      </c>
      <c r="C14" s="791">
        <f t="shared" si="0"/>
        <v>1299500000</v>
      </c>
      <c r="D14" s="792">
        <v>47700000</v>
      </c>
      <c r="E14" s="792">
        <v>1251800000</v>
      </c>
      <c r="F14" s="1457">
        <v>94</v>
      </c>
      <c r="G14" s="1458">
        <v>1800000</v>
      </c>
      <c r="H14" s="1458">
        <v>169200000</v>
      </c>
      <c r="I14" s="793">
        <f t="shared" si="1"/>
        <v>1082600000</v>
      </c>
      <c r="J14" s="1463">
        <f t="shared" si="2"/>
        <v>1082600</v>
      </c>
    </row>
    <row r="15" spans="1:10" ht="19.5" thickBot="1">
      <c r="A15" s="789">
        <v>11</v>
      </c>
      <c r="B15" s="790" t="s">
        <v>737</v>
      </c>
      <c r="C15" s="791">
        <f t="shared" si="0"/>
        <v>1371500000</v>
      </c>
      <c r="D15" s="792">
        <v>47700000</v>
      </c>
      <c r="E15" s="792">
        <v>1323800000</v>
      </c>
      <c r="F15" s="1457">
        <v>124</v>
      </c>
      <c r="G15" s="1458">
        <v>1800000</v>
      </c>
      <c r="H15" s="1458">
        <v>223200000</v>
      </c>
      <c r="I15" s="793">
        <f t="shared" si="1"/>
        <v>1100600000</v>
      </c>
      <c r="J15" s="1463">
        <f t="shared" si="2"/>
        <v>1100600</v>
      </c>
    </row>
    <row r="16" spans="1:10" ht="19.5" thickBot="1">
      <c r="A16" s="789">
        <v>12</v>
      </c>
      <c r="B16" s="790" t="s">
        <v>738</v>
      </c>
      <c r="C16" s="791">
        <f t="shared" si="0"/>
        <v>1054800000</v>
      </c>
      <c r="D16" s="792">
        <v>47700000</v>
      </c>
      <c r="E16" s="792">
        <v>1007100000</v>
      </c>
      <c r="F16" s="1459">
        <v>114</v>
      </c>
      <c r="G16" s="1460">
        <v>1800000</v>
      </c>
      <c r="H16" s="1460">
        <v>205200000</v>
      </c>
      <c r="I16" s="793">
        <f t="shared" si="1"/>
        <v>801900000</v>
      </c>
      <c r="J16" s="1463">
        <f t="shared" si="2"/>
        <v>801900</v>
      </c>
    </row>
    <row r="17" spans="1:10" s="691" customFormat="1" ht="19.5" thickBot="1">
      <c r="A17" s="2000" t="s">
        <v>740</v>
      </c>
      <c r="B17" s="2000"/>
      <c r="C17" s="795">
        <f>SUM(C5:C16)</f>
        <v>27784000000</v>
      </c>
      <c r="D17" s="795">
        <f t="shared" ref="D17:E17" si="3">SUM(D5:D16)</f>
        <v>572400000</v>
      </c>
      <c r="E17" s="795">
        <f t="shared" si="3"/>
        <v>27211600000</v>
      </c>
      <c r="F17" s="1461">
        <v>2487</v>
      </c>
      <c r="G17" s="1462">
        <v>21600000</v>
      </c>
      <c r="H17" s="1462">
        <v>4476600000</v>
      </c>
      <c r="I17" s="795">
        <f t="shared" ref="I17:J17" si="4">SUM(I5:I16)</f>
        <v>22735000000</v>
      </c>
      <c r="J17" s="795">
        <f t="shared" si="4"/>
        <v>22735000</v>
      </c>
    </row>
  </sheetData>
  <mergeCells count="10">
    <mergeCell ref="F3:G3"/>
    <mergeCell ref="A1:I1"/>
    <mergeCell ref="I3:I4"/>
    <mergeCell ref="A17:B17"/>
    <mergeCell ref="A3:A4"/>
    <mergeCell ref="B3:B4"/>
    <mergeCell ref="C3:C4"/>
    <mergeCell ref="D3:D4"/>
    <mergeCell ref="E3:E4"/>
    <mergeCell ref="H3:H4"/>
  </mergeCells>
  <pageMargins left="0.70866141732283472" right="0.70866141732283472" top="0.74803149606299213" bottom="0.74803149606299213" header="0.31496062992125984" footer="0.31496062992125984"/>
  <pageSetup paperSize="9" scale="85"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E50"/>
  <sheetViews>
    <sheetView topLeftCell="A58" zoomScale="142" zoomScaleNormal="142" workbookViewId="0">
      <selection activeCell="Q13" sqref="Q13"/>
    </sheetView>
  </sheetViews>
  <sheetFormatPr defaultRowHeight="12.75"/>
  <cols>
    <col min="1" max="1" width="5" style="693" customWidth="1"/>
    <col min="2" max="2" width="41.140625" style="695" customWidth="1"/>
    <col min="3" max="3" width="8.7109375" style="694" customWidth="1"/>
    <col min="4" max="4" width="11.7109375" style="695" customWidth="1"/>
    <col min="5" max="5" width="7.42578125" style="695" customWidth="1"/>
    <col min="6" max="6" width="8.5703125" style="695" customWidth="1"/>
    <col min="7" max="7" width="8.140625" style="695" customWidth="1"/>
    <col min="8" max="8" width="10.140625" style="695" customWidth="1"/>
    <col min="9" max="9" width="8.28515625" style="695" customWidth="1"/>
    <col min="10" max="10" width="8.7109375" style="695" customWidth="1"/>
    <col min="11" max="11" width="7.7109375" style="695" customWidth="1"/>
    <col min="12" max="12" width="8.28515625" style="695" customWidth="1"/>
    <col min="13" max="13" width="6.140625" style="695" customWidth="1"/>
    <col min="14" max="14" width="8.28515625" style="755" customWidth="1"/>
    <col min="15" max="15" width="8.7109375" style="695" customWidth="1"/>
    <col min="16" max="16" width="7.28515625" style="695" customWidth="1"/>
    <col min="17" max="17" width="8" style="696" customWidth="1"/>
    <col min="18" max="18" width="7.85546875" style="695" customWidth="1"/>
    <col min="19" max="19" width="8.7109375" style="695" customWidth="1"/>
    <col min="20" max="21" width="9" style="695" customWidth="1"/>
    <col min="22" max="22" width="7.7109375" style="695" customWidth="1"/>
    <col min="23" max="23" width="8.7109375" style="695" customWidth="1"/>
    <col min="24" max="24" width="9.42578125" style="695" customWidth="1"/>
    <col min="25" max="25" width="8.28515625" style="695" customWidth="1"/>
    <col min="26" max="26" width="7.42578125" style="695" customWidth="1"/>
    <col min="27" max="27" width="12.85546875" style="697" bestFit="1" customWidth="1"/>
    <col min="28" max="31" width="9.140625" style="697"/>
    <col min="32" max="256" width="9.140625" style="695"/>
    <col min="257" max="257" width="5" style="695" customWidth="1"/>
    <col min="258" max="258" width="41.140625" style="695" customWidth="1"/>
    <col min="259" max="259" width="8.7109375" style="695" customWidth="1"/>
    <col min="260" max="260" width="11.7109375" style="695" customWidth="1"/>
    <col min="261" max="261" width="7.42578125" style="695" customWidth="1"/>
    <col min="262" max="262" width="8.5703125" style="695" customWidth="1"/>
    <col min="263" max="263" width="8.140625" style="695" customWidth="1"/>
    <col min="264" max="264" width="10.140625" style="695" customWidth="1"/>
    <col min="265" max="265" width="8.28515625" style="695" customWidth="1"/>
    <col min="266" max="266" width="8.7109375" style="695" customWidth="1"/>
    <col min="267" max="267" width="7.7109375" style="695" customWidth="1"/>
    <col min="268" max="268" width="8.28515625" style="695" customWidth="1"/>
    <col min="269" max="269" width="6.140625" style="695" customWidth="1"/>
    <col min="270" max="270" width="8.28515625" style="695" customWidth="1"/>
    <col min="271" max="271" width="8.7109375" style="695" customWidth="1"/>
    <col min="272" max="272" width="7.28515625" style="695" customWidth="1"/>
    <col min="273" max="273" width="8" style="695" customWidth="1"/>
    <col min="274" max="274" width="7.85546875" style="695" customWidth="1"/>
    <col min="275" max="275" width="8.7109375" style="695" customWidth="1"/>
    <col min="276" max="277" width="9" style="695" customWidth="1"/>
    <col min="278" max="278" width="7.7109375" style="695" customWidth="1"/>
    <col min="279" max="279" width="8.7109375" style="695" customWidth="1"/>
    <col min="280" max="280" width="9.42578125" style="695" customWidth="1"/>
    <col min="281" max="281" width="8.28515625" style="695" customWidth="1"/>
    <col min="282" max="282" width="7.42578125" style="695" customWidth="1"/>
    <col min="283" max="283" width="12.85546875" style="695" bestFit="1" customWidth="1"/>
    <col min="284" max="512" width="9.140625" style="695"/>
    <col min="513" max="513" width="5" style="695" customWidth="1"/>
    <col min="514" max="514" width="41.140625" style="695" customWidth="1"/>
    <col min="515" max="515" width="8.7109375" style="695" customWidth="1"/>
    <col min="516" max="516" width="11.7109375" style="695" customWidth="1"/>
    <col min="517" max="517" width="7.42578125" style="695" customWidth="1"/>
    <col min="518" max="518" width="8.5703125" style="695" customWidth="1"/>
    <col min="519" max="519" width="8.140625" style="695" customWidth="1"/>
    <col min="520" max="520" width="10.140625" style="695" customWidth="1"/>
    <col min="521" max="521" width="8.28515625" style="695" customWidth="1"/>
    <col min="522" max="522" width="8.7109375" style="695" customWidth="1"/>
    <col min="523" max="523" width="7.7109375" style="695" customWidth="1"/>
    <col min="524" max="524" width="8.28515625" style="695" customWidth="1"/>
    <col min="525" max="525" width="6.140625" style="695" customWidth="1"/>
    <col min="526" max="526" width="8.28515625" style="695" customWidth="1"/>
    <col min="527" max="527" width="8.7109375" style="695" customWidth="1"/>
    <col min="528" max="528" width="7.28515625" style="695" customWidth="1"/>
    <col min="529" max="529" width="8" style="695" customWidth="1"/>
    <col min="530" max="530" width="7.85546875" style="695" customWidth="1"/>
    <col min="531" max="531" width="8.7109375" style="695" customWidth="1"/>
    <col min="532" max="533" width="9" style="695" customWidth="1"/>
    <col min="534" max="534" width="7.7109375" style="695" customWidth="1"/>
    <col min="535" max="535" width="8.7109375" style="695" customWidth="1"/>
    <col min="536" max="536" width="9.42578125" style="695" customWidth="1"/>
    <col min="537" max="537" width="8.28515625" style="695" customWidth="1"/>
    <col min="538" max="538" width="7.42578125" style="695" customWidth="1"/>
    <col min="539" max="539" width="12.85546875" style="695" bestFit="1" customWidth="1"/>
    <col min="540" max="768" width="9.140625" style="695"/>
    <col min="769" max="769" width="5" style="695" customWidth="1"/>
    <col min="770" max="770" width="41.140625" style="695" customWidth="1"/>
    <col min="771" max="771" width="8.7109375" style="695" customWidth="1"/>
    <col min="772" max="772" width="11.7109375" style="695" customWidth="1"/>
    <col min="773" max="773" width="7.42578125" style="695" customWidth="1"/>
    <col min="774" max="774" width="8.5703125" style="695" customWidth="1"/>
    <col min="775" max="775" width="8.140625" style="695" customWidth="1"/>
    <col min="776" max="776" width="10.140625" style="695" customWidth="1"/>
    <col min="777" max="777" width="8.28515625" style="695" customWidth="1"/>
    <col min="778" max="778" width="8.7109375" style="695" customWidth="1"/>
    <col min="779" max="779" width="7.7109375" style="695" customWidth="1"/>
    <col min="780" max="780" width="8.28515625" style="695" customWidth="1"/>
    <col min="781" max="781" width="6.140625" style="695" customWidth="1"/>
    <col min="782" max="782" width="8.28515625" style="695" customWidth="1"/>
    <col min="783" max="783" width="8.7109375" style="695" customWidth="1"/>
    <col min="784" max="784" width="7.28515625" style="695" customWidth="1"/>
    <col min="785" max="785" width="8" style="695" customWidth="1"/>
    <col min="786" max="786" width="7.85546875" style="695" customWidth="1"/>
    <col min="787" max="787" width="8.7109375" style="695" customWidth="1"/>
    <col min="788" max="789" width="9" style="695" customWidth="1"/>
    <col min="790" max="790" width="7.7109375" style="695" customWidth="1"/>
    <col min="791" max="791" width="8.7109375" style="695" customWidth="1"/>
    <col min="792" max="792" width="9.42578125" style="695" customWidth="1"/>
    <col min="793" max="793" width="8.28515625" style="695" customWidth="1"/>
    <col min="794" max="794" width="7.42578125" style="695" customWidth="1"/>
    <col min="795" max="795" width="12.85546875" style="695" bestFit="1" customWidth="1"/>
    <col min="796" max="1024" width="9.140625" style="695"/>
    <col min="1025" max="1025" width="5" style="695" customWidth="1"/>
    <col min="1026" max="1026" width="41.140625" style="695" customWidth="1"/>
    <col min="1027" max="1027" width="8.7109375" style="695" customWidth="1"/>
    <col min="1028" max="1028" width="11.7109375" style="695" customWidth="1"/>
    <col min="1029" max="1029" width="7.42578125" style="695" customWidth="1"/>
    <col min="1030" max="1030" width="8.5703125" style="695" customWidth="1"/>
    <col min="1031" max="1031" width="8.140625" style="695" customWidth="1"/>
    <col min="1032" max="1032" width="10.140625" style="695" customWidth="1"/>
    <col min="1033" max="1033" width="8.28515625" style="695" customWidth="1"/>
    <col min="1034" max="1034" width="8.7109375" style="695" customWidth="1"/>
    <col min="1035" max="1035" width="7.7109375" style="695" customWidth="1"/>
    <col min="1036" max="1036" width="8.28515625" style="695" customWidth="1"/>
    <col min="1037" max="1037" width="6.140625" style="695" customWidth="1"/>
    <col min="1038" max="1038" width="8.28515625" style="695" customWidth="1"/>
    <col min="1039" max="1039" width="8.7109375" style="695" customWidth="1"/>
    <col min="1040" max="1040" width="7.28515625" style="695" customWidth="1"/>
    <col min="1041" max="1041" width="8" style="695" customWidth="1"/>
    <col min="1042" max="1042" width="7.85546875" style="695" customWidth="1"/>
    <col min="1043" max="1043" width="8.7109375" style="695" customWidth="1"/>
    <col min="1044" max="1045" width="9" style="695" customWidth="1"/>
    <col min="1046" max="1046" width="7.7109375" style="695" customWidth="1"/>
    <col min="1047" max="1047" width="8.7109375" style="695" customWidth="1"/>
    <col min="1048" max="1048" width="9.42578125" style="695" customWidth="1"/>
    <col min="1049" max="1049" width="8.28515625" style="695" customWidth="1"/>
    <col min="1050" max="1050" width="7.42578125" style="695" customWidth="1"/>
    <col min="1051" max="1051" width="12.85546875" style="695" bestFit="1" customWidth="1"/>
    <col min="1052" max="1280" width="9.140625" style="695"/>
    <col min="1281" max="1281" width="5" style="695" customWidth="1"/>
    <col min="1282" max="1282" width="41.140625" style="695" customWidth="1"/>
    <col min="1283" max="1283" width="8.7109375" style="695" customWidth="1"/>
    <col min="1284" max="1284" width="11.7109375" style="695" customWidth="1"/>
    <col min="1285" max="1285" width="7.42578125" style="695" customWidth="1"/>
    <col min="1286" max="1286" width="8.5703125" style="695" customWidth="1"/>
    <col min="1287" max="1287" width="8.140625" style="695" customWidth="1"/>
    <col min="1288" max="1288" width="10.140625" style="695" customWidth="1"/>
    <col min="1289" max="1289" width="8.28515625" style="695" customWidth="1"/>
    <col min="1290" max="1290" width="8.7109375" style="695" customWidth="1"/>
    <col min="1291" max="1291" width="7.7109375" style="695" customWidth="1"/>
    <col min="1292" max="1292" width="8.28515625" style="695" customWidth="1"/>
    <col min="1293" max="1293" width="6.140625" style="695" customWidth="1"/>
    <col min="1294" max="1294" width="8.28515625" style="695" customWidth="1"/>
    <col min="1295" max="1295" width="8.7109375" style="695" customWidth="1"/>
    <col min="1296" max="1296" width="7.28515625" style="695" customWidth="1"/>
    <col min="1297" max="1297" width="8" style="695" customWidth="1"/>
    <col min="1298" max="1298" width="7.85546875" style="695" customWidth="1"/>
    <col min="1299" max="1299" width="8.7109375" style="695" customWidth="1"/>
    <col min="1300" max="1301" width="9" style="695" customWidth="1"/>
    <col min="1302" max="1302" width="7.7109375" style="695" customWidth="1"/>
    <col min="1303" max="1303" width="8.7109375" style="695" customWidth="1"/>
    <col min="1304" max="1304" width="9.42578125" style="695" customWidth="1"/>
    <col min="1305" max="1305" width="8.28515625" style="695" customWidth="1"/>
    <col min="1306" max="1306" width="7.42578125" style="695" customWidth="1"/>
    <col min="1307" max="1307" width="12.85546875" style="695" bestFit="1" customWidth="1"/>
    <col min="1308" max="1536" width="9.140625" style="695"/>
    <col min="1537" max="1537" width="5" style="695" customWidth="1"/>
    <col min="1538" max="1538" width="41.140625" style="695" customWidth="1"/>
    <col min="1539" max="1539" width="8.7109375" style="695" customWidth="1"/>
    <col min="1540" max="1540" width="11.7109375" style="695" customWidth="1"/>
    <col min="1541" max="1541" width="7.42578125" style="695" customWidth="1"/>
    <col min="1542" max="1542" width="8.5703125" style="695" customWidth="1"/>
    <col min="1543" max="1543" width="8.140625" style="695" customWidth="1"/>
    <col min="1544" max="1544" width="10.140625" style="695" customWidth="1"/>
    <col min="1545" max="1545" width="8.28515625" style="695" customWidth="1"/>
    <col min="1546" max="1546" width="8.7109375" style="695" customWidth="1"/>
    <col min="1547" max="1547" width="7.7109375" style="695" customWidth="1"/>
    <col min="1548" max="1548" width="8.28515625" style="695" customWidth="1"/>
    <col min="1549" max="1549" width="6.140625" style="695" customWidth="1"/>
    <col min="1550" max="1550" width="8.28515625" style="695" customWidth="1"/>
    <col min="1551" max="1551" width="8.7109375" style="695" customWidth="1"/>
    <col min="1552" max="1552" width="7.28515625" style="695" customWidth="1"/>
    <col min="1553" max="1553" width="8" style="695" customWidth="1"/>
    <col min="1554" max="1554" width="7.85546875" style="695" customWidth="1"/>
    <col min="1555" max="1555" width="8.7109375" style="695" customWidth="1"/>
    <col min="1556" max="1557" width="9" style="695" customWidth="1"/>
    <col min="1558" max="1558" width="7.7109375" style="695" customWidth="1"/>
    <col min="1559" max="1559" width="8.7109375" style="695" customWidth="1"/>
    <col min="1560" max="1560" width="9.42578125" style="695" customWidth="1"/>
    <col min="1561" max="1561" width="8.28515625" style="695" customWidth="1"/>
    <col min="1562" max="1562" width="7.42578125" style="695" customWidth="1"/>
    <col min="1563" max="1563" width="12.85546875" style="695" bestFit="1" customWidth="1"/>
    <col min="1564" max="1792" width="9.140625" style="695"/>
    <col min="1793" max="1793" width="5" style="695" customWidth="1"/>
    <col min="1794" max="1794" width="41.140625" style="695" customWidth="1"/>
    <col min="1795" max="1795" width="8.7109375" style="695" customWidth="1"/>
    <col min="1796" max="1796" width="11.7109375" style="695" customWidth="1"/>
    <col min="1797" max="1797" width="7.42578125" style="695" customWidth="1"/>
    <col min="1798" max="1798" width="8.5703125" style="695" customWidth="1"/>
    <col min="1799" max="1799" width="8.140625" style="695" customWidth="1"/>
    <col min="1800" max="1800" width="10.140625" style="695" customWidth="1"/>
    <col min="1801" max="1801" width="8.28515625" style="695" customWidth="1"/>
    <col min="1802" max="1802" width="8.7109375" style="695" customWidth="1"/>
    <col min="1803" max="1803" width="7.7109375" style="695" customWidth="1"/>
    <col min="1804" max="1804" width="8.28515625" style="695" customWidth="1"/>
    <col min="1805" max="1805" width="6.140625" style="695" customWidth="1"/>
    <col min="1806" max="1806" width="8.28515625" style="695" customWidth="1"/>
    <col min="1807" max="1807" width="8.7109375" style="695" customWidth="1"/>
    <col min="1808" max="1808" width="7.28515625" style="695" customWidth="1"/>
    <col min="1809" max="1809" width="8" style="695" customWidth="1"/>
    <col min="1810" max="1810" width="7.85546875" style="695" customWidth="1"/>
    <col min="1811" max="1811" width="8.7109375" style="695" customWidth="1"/>
    <col min="1812" max="1813" width="9" style="695" customWidth="1"/>
    <col min="1814" max="1814" width="7.7109375" style="695" customWidth="1"/>
    <col min="1815" max="1815" width="8.7109375" style="695" customWidth="1"/>
    <col min="1816" max="1816" width="9.42578125" style="695" customWidth="1"/>
    <col min="1817" max="1817" width="8.28515625" style="695" customWidth="1"/>
    <col min="1818" max="1818" width="7.42578125" style="695" customWidth="1"/>
    <col min="1819" max="1819" width="12.85546875" style="695" bestFit="1" customWidth="1"/>
    <col min="1820" max="2048" width="9.140625" style="695"/>
    <col min="2049" max="2049" width="5" style="695" customWidth="1"/>
    <col min="2050" max="2050" width="41.140625" style="695" customWidth="1"/>
    <col min="2051" max="2051" width="8.7109375" style="695" customWidth="1"/>
    <col min="2052" max="2052" width="11.7109375" style="695" customWidth="1"/>
    <col min="2053" max="2053" width="7.42578125" style="695" customWidth="1"/>
    <col min="2054" max="2054" width="8.5703125" style="695" customWidth="1"/>
    <col min="2055" max="2055" width="8.140625" style="695" customWidth="1"/>
    <col min="2056" max="2056" width="10.140625" style="695" customWidth="1"/>
    <col min="2057" max="2057" width="8.28515625" style="695" customWidth="1"/>
    <col min="2058" max="2058" width="8.7109375" style="695" customWidth="1"/>
    <col min="2059" max="2059" width="7.7109375" style="695" customWidth="1"/>
    <col min="2060" max="2060" width="8.28515625" style="695" customWidth="1"/>
    <col min="2061" max="2061" width="6.140625" style="695" customWidth="1"/>
    <col min="2062" max="2062" width="8.28515625" style="695" customWidth="1"/>
    <col min="2063" max="2063" width="8.7109375" style="695" customWidth="1"/>
    <col min="2064" max="2064" width="7.28515625" style="695" customWidth="1"/>
    <col min="2065" max="2065" width="8" style="695" customWidth="1"/>
    <col min="2066" max="2066" width="7.85546875" style="695" customWidth="1"/>
    <col min="2067" max="2067" width="8.7109375" style="695" customWidth="1"/>
    <col min="2068" max="2069" width="9" style="695" customWidth="1"/>
    <col min="2070" max="2070" width="7.7109375" style="695" customWidth="1"/>
    <col min="2071" max="2071" width="8.7109375" style="695" customWidth="1"/>
    <col min="2072" max="2072" width="9.42578125" style="695" customWidth="1"/>
    <col min="2073" max="2073" width="8.28515625" style="695" customWidth="1"/>
    <col min="2074" max="2074" width="7.42578125" style="695" customWidth="1"/>
    <col min="2075" max="2075" width="12.85546875" style="695" bestFit="1" customWidth="1"/>
    <col min="2076" max="2304" width="9.140625" style="695"/>
    <col min="2305" max="2305" width="5" style="695" customWidth="1"/>
    <col min="2306" max="2306" width="41.140625" style="695" customWidth="1"/>
    <col min="2307" max="2307" width="8.7109375" style="695" customWidth="1"/>
    <col min="2308" max="2308" width="11.7109375" style="695" customWidth="1"/>
    <col min="2309" max="2309" width="7.42578125" style="695" customWidth="1"/>
    <col min="2310" max="2310" width="8.5703125" style="695" customWidth="1"/>
    <col min="2311" max="2311" width="8.140625" style="695" customWidth="1"/>
    <col min="2312" max="2312" width="10.140625" style="695" customWidth="1"/>
    <col min="2313" max="2313" width="8.28515625" style="695" customWidth="1"/>
    <col min="2314" max="2314" width="8.7109375" style="695" customWidth="1"/>
    <col min="2315" max="2315" width="7.7109375" style="695" customWidth="1"/>
    <col min="2316" max="2316" width="8.28515625" style="695" customWidth="1"/>
    <col min="2317" max="2317" width="6.140625" style="695" customWidth="1"/>
    <col min="2318" max="2318" width="8.28515625" style="695" customWidth="1"/>
    <col min="2319" max="2319" width="8.7109375" style="695" customWidth="1"/>
    <col min="2320" max="2320" width="7.28515625" style="695" customWidth="1"/>
    <col min="2321" max="2321" width="8" style="695" customWidth="1"/>
    <col min="2322" max="2322" width="7.85546875" style="695" customWidth="1"/>
    <col min="2323" max="2323" width="8.7109375" style="695" customWidth="1"/>
    <col min="2324" max="2325" width="9" style="695" customWidth="1"/>
    <col min="2326" max="2326" width="7.7109375" style="695" customWidth="1"/>
    <col min="2327" max="2327" width="8.7109375" style="695" customWidth="1"/>
    <col min="2328" max="2328" width="9.42578125" style="695" customWidth="1"/>
    <col min="2329" max="2329" width="8.28515625" style="695" customWidth="1"/>
    <col min="2330" max="2330" width="7.42578125" style="695" customWidth="1"/>
    <col min="2331" max="2331" width="12.85546875" style="695" bestFit="1" customWidth="1"/>
    <col min="2332" max="2560" width="9.140625" style="695"/>
    <col min="2561" max="2561" width="5" style="695" customWidth="1"/>
    <col min="2562" max="2562" width="41.140625" style="695" customWidth="1"/>
    <col min="2563" max="2563" width="8.7109375" style="695" customWidth="1"/>
    <col min="2564" max="2564" width="11.7109375" style="695" customWidth="1"/>
    <col min="2565" max="2565" width="7.42578125" style="695" customWidth="1"/>
    <col min="2566" max="2566" width="8.5703125" style="695" customWidth="1"/>
    <col min="2567" max="2567" width="8.140625" style="695" customWidth="1"/>
    <col min="2568" max="2568" width="10.140625" style="695" customWidth="1"/>
    <col min="2569" max="2569" width="8.28515625" style="695" customWidth="1"/>
    <col min="2570" max="2570" width="8.7109375" style="695" customWidth="1"/>
    <col min="2571" max="2571" width="7.7109375" style="695" customWidth="1"/>
    <col min="2572" max="2572" width="8.28515625" style="695" customWidth="1"/>
    <col min="2573" max="2573" width="6.140625" style="695" customWidth="1"/>
    <col min="2574" max="2574" width="8.28515625" style="695" customWidth="1"/>
    <col min="2575" max="2575" width="8.7109375" style="695" customWidth="1"/>
    <col min="2576" max="2576" width="7.28515625" style="695" customWidth="1"/>
    <col min="2577" max="2577" width="8" style="695" customWidth="1"/>
    <col min="2578" max="2578" width="7.85546875" style="695" customWidth="1"/>
    <col min="2579" max="2579" width="8.7109375" style="695" customWidth="1"/>
    <col min="2580" max="2581" width="9" style="695" customWidth="1"/>
    <col min="2582" max="2582" width="7.7109375" style="695" customWidth="1"/>
    <col min="2583" max="2583" width="8.7109375" style="695" customWidth="1"/>
    <col min="2584" max="2584" width="9.42578125" style="695" customWidth="1"/>
    <col min="2585" max="2585" width="8.28515625" style="695" customWidth="1"/>
    <col min="2586" max="2586" width="7.42578125" style="695" customWidth="1"/>
    <col min="2587" max="2587" width="12.85546875" style="695" bestFit="1" customWidth="1"/>
    <col min="2588" max="2816" width="9.140625" style="695"/>
    <col min="2817" max="2817" width="5" style="695" customWidth="1"/>
    <col min="2818" max="2818" width="41.140625" style="695" customWidth="1"/>
    <col min="2819" max="2819" width="8.7109375" style="695" customWidth="1"/>
    <col min="2820" max="2820" width="11.7109375" style="695" customWidth="1"/>
    <col min="2821" max="2821" width="7.42578125" style="695" customWidth="1"/>
    <col min="2822" max="2822" width="8.5703125" style="695" customWidth="1"/>
    <col min="2823" max="2823" width="8.140625" style="695" customWidth="1"/>
    <col min="2824" max="2824" width="10.140625" style="695" customWidth="1"/>
    <col min="2825" max="2825" width="8.28515625" style="695" customWidth="1"/>
    <col min="2826" max="2826" width="8.7109375" style="695" customWidth="1"/>
    <col min="2827" max="2827" width="7.7109375" style="695" customWidth="1"/>
    <col min="2828" max="2828" width="8.28515625" style="695" customWidth="1"/>
    <col min="2829" max="2829" width="6.140625" style="695" customWidth="1"/>
    <col min="2830" max="2830" width="8.28515625" style="695" customWidth="1"/>
    <col min="2831" max="2831" width="8.7109375" style="695" customWidth="1"/>
    <col min="2832" max="2832" width="7.28515625" style="695" customWidth="1"/>
    <col min="2833" max="2833" width="8" style="695" customWidth="1"/>
    <col min="2834" max="2834" width="7.85546875" style="695" customWidth="1"/>
    <col min="2835" max="2835" width="8.7109375" style="695" customWidth="1"/>
    <col min="2836" max="2837" width="9" style="695" customWidth="1"/>
    <col min="2838" max="2838" width="7.7109375" style="695" customWidth="1"/>
    <col min="2839" max="2839" width="8.7109375" style="695" customWidth="1"/>
    <col min="2840" max="2840" width="9.42578125" style="695" customWidth="1"/>
    <col min="2841" max="2841" width="8.28515625" style="695" customWidth="1"/>
    <col min="2842" max="2842" width="7.42578125" style="695" customWidth="1"/>
    <col min="2843" max="2843" width="12.85546875" style="695" bestFit="1" customWidth="1"/>
    <col min="2844" max="3072" width="9.140625" style="695"/>
    <col min="3073" max="3073" width="5" style="695" customWidth="1"/>
    <col min="3074" max="3074" width="41.140625" style="695" customWidth="1"/>
    <col min="3075" max="3075" width="8.7109375" style="695" customWidth="1"/>
    <col min="3076" max="3076" width="11.7109375" style="695" customWidth="1"/>
    <col min="3077" max="3077" width="7.42578125" style="695" customWidth="1"/>
    <col min="3078" max="3078" width="8.5703125" style="695" customWidth="1"/>
    <col min="3079" max="3079" width="8.140625" style="695" customWidth="1"/>
    <col min="3080" max="3080" width="10.140625" style="695" customWidth="1"/>
    <col min="3081" max="3081" width="8.28515625" style="695" customWidth="1"/>
    <col min="3082" max="3082" width="8.7109375" style="695" customWidth="1"/>
    <col min="3083" max="3083" width="7.7109375" style="695" customWidth="1"/>
    <col min="3084" max="3084" width="8.28515625" style="695" customWidth="1"/>
    <col min="3085" max="3085" width="6.140625" style="695" customWidth="1"/>
    <col min="3086" max="3086" width="8.28515625" style="695" customWidth="1"/>
    <col min="3087" max="3087" width="8.7109375" style="695" customWidth="1"/>
    <col min="3088" max="3088" width="7.28515625" style="695" customWidth="1"/>
    <col min="3089" max="3089" width="8" style="695" customWidth="1"/>
    <col min="3090" max="3090" width="7.85546875" style="695" customWidth="1"/>
    <col min="3091" max="3091" width="8.7109375" style="695" customWidth="1"/>
    <col min="3092" max="3093" width="9" style="695" customWidth="1"/>
    <col min="3094" max="3094" width="7.7109375" style="695" customWidth="1"/>
    <col min="3095" max="3095" width="8.7109375" style="695" customWidth="1"/>
    <col min="3096" max="3096" width="9.42578125" style="695" customWidth="1"/>
    <col min="3097" max="3097" width="8.28515625" style="695" customWidth="1"/>
    <col min="3098" max="3098" width="7.42578125" style="695" customWidth="1"/>
    <col min="3099" max="3099" width="12.85546875" style="695" bestFit="1" customWidth="1"/>
    <col min="3100" max="3328" width="9.140625" style="695"/>
    <col min="3329" max="3329" width="5" style="695" customWidth="1"/>
    <col min="3330" max="3330" width="41.140625" style="695" customWidth="1"/>
    <col min="3331" max="3331" width="8.7109375" style="695" customWidth="1"/>
    <col min="3332" max="3332" width="11.7109375" style="695" customWidth="1"/>
    <col min="3333" max="3333" width="7.42578125" style="695" customWidth="1"/>
    <col min="3334" max="3334" width="8.5703125" style="695" customWidth="1"/>
    <col min="3335" max="3335" width="8.140625" style="695" customWidth="1"/>
    <col min="3336" max="3336" width="10.140625" style="695" customWidth="1"/>
    <col min="3337" max="3337" width="8.28515625" style="695" customWidth="1"/>
    <col min="3338" max="3338" width="8.7109375" style="695" customWidth="1"/>
    <col min="3339" max="3339" width="7.7109375" style="695" customWidth="1"/>
    <col min="3340" max="3340" width="8.28515625" style="695" customWidth="1"/>
    <col min="3341" max="3341" width="6.140625" style="695" customWidth="1"/>
    <col min="3342" max="3342" width="8.28515625" style="695" customWidth="1"/>
    <col min="3343" max="3343" width="8.7109375" style="695" customWidth="1"/>
    <col min="3344" max="3344" width="7.28515625" style="695" customWidth="1"/>
    <col min="3345" max="3345" width="8" style="695" customWidth="1"/>
    <col min="3346" max="3346" width="7.85546875" style="695" customWidth="1"/>
    <col min="3347" max="3347" width="8.7109375" style="695" customWidth="1"/>
    <col min="3348" max="3349" width="9" style="695" customWidth="1"/>
    <col min="3350" max="3350" width="7.7109375" style="695" customWidth="1"/>
    <col min="3351" max="3351" width="8.7109375" style="695" customWidth="1"/>
    <col min="3352" max="3352" width="9.42578125" style="695" customWidth="1"/>
    <col min="3353" max="3353" width="8.28515625" style="695" customWidth="1"/>
    <col min="3354" max="3354" width="7.42578125" style="695" customWidth="1"/>
    <col min="3355" max="3355" width="12.85546875" style="695" bestFit="1" customWidth="1"/>
    <col min="3356" max="3584" width="9.140625" style="695"/>
    <col min="3585" max="3585" width="5" style="695" customWidth="1"/>
    <col min="3586" max="3586" width="41.140625" style="695" customWidth="1"/>
    <col min="3587" max="3587" width="8.7109375" style="695" customWidth="1"/>
    <col min="3588" max="3588" width="11.7109375" style="695" customWidth="1"/>
    <col min="3589" max="3589" width="7.42578125" style="695" customWidth="1"/>
    <col min="3590" max="3590" width="8.5703125" style="695" customWidth="1"/>
    <col min="3591" max="3591" width="8.140625" style="695" customWidth="1"/>
    <col min="3592" max="3592" width="10.140625" style="695" customWidth="1"/>
    <col min="3593" max="3593" width="8.28515625" style="695" customWidth="1"/>
    <col min="3594" max="3594" width="8.7109375" style="695" customWidth="1"/>
    <col min="3595" max="3595" width="7.7109375" style="695" customWidth="1"/>
    <col min="3596" max="3596" width="8.28515625" style="695" customWidth="1"/>
    <col min="3597" max="3597" width="6.140625" style="695" customWidth="1"/>
    <col min="3598" max="3598" width="8.28515625" style="695" customWidth="1"/>
    <col min="3599" max="3599" width="8.7109375" style="695" customWidth="1"/>
    <col min="3600" max="3600" width="7.28515625" style="695" customWidth="1"/>
    <col min="3601" max="3601" width="8" style="695" customWidth="1"/>
    <col min="3602" max="3602" width="7.85546875" style="695" customWidth="1"/>
    <col min="3603" max="3603" width="8.7109375" style="695" customWidth="1"/>
    <col min="3604" max="3605" width="9" style="695" customWidth="1"/>
    <col min="3606" max="3606" width="7.7109375" style="695" customWidth="1"/>
    <col min="3607" max="3607" width="8.7109375" style="695" customWidth="1"/>
    <col min="3608" max="3608" width="9.42578125" style="695" customWidth="1"/>
    <col min="3609" max="3609" width="8.28515625" style="695" customWidth="1"/>
    <col min="3610" max="3610" width="7.42578125" style="695" customWidth="1"/>
    <col min="3611" max="3611" width="12.85546875" style="695" bestFit="1" customWidth="1"/>
    <col min="3612" max="3840" width="9.140625" style="695"/>
    <col min="3841" max="3841" width="5" style="695" customWidth="1"/>
    <col min="3842" max="3842" width="41.140625" style="695" customWidth="1"/>
    <col min="3843" max="3843" width="8.7109375" style="695" customWidth="1"/>
    <col min="3844" max="3844" width="11.7109375" style="695" customWidth="1"/>
    <col min="3845" max="3845" width="7.42578125" style="695" customWidth="1"/>
    <col min="3846" max="3846" width="8.5703125" style="695" customWidth="1"/>
    <col min="3847" max="3847" width="8.140625" style="695" customWidth="1"/>
    <col min="3848" max="3848" width="10.140625" style="695" customWidth="1"/>
    <col min="3849" max="3849" width="8.28515625" style="695" customWidth="1"/>
    <col min="3850" max="3850" width="8.7109375" style="695" customWidth="1"/>
    <col min="3851" max="3851" width="7.7109375" style="695" customWidth="1"/>
    <col min="3852" max="3852" width="8.28515625" style="695" customWidth="1"/>
    <col min="3853" max="3853" width="6.140625" style="695" customWidth="1"/>
    <col min="3854" max="3854" width="8.28515625" style="695" customWidth="1"/>
    <col min="3855" max="3855" width="8.7109375" style="695" customWidth="1"/>
    <col min="3856" max="3856" width="7.28515625" style="695" customWidth="1"/>
    <col min="3857" max="3857" width="8" style="695" customWidth="1"/>
    <col min="3858" max="3858" width="7.85546875" style="695" customWidth="1"/>
    <col min="3859" max="3859" width="8.7109375" style="695" customWidth="1"/>
    <col min="3860" max="3861" width="9" style="695" customWidth="1"/>
    <col min="3862" max="3862" width="7.7109375" style="695" customWidth="1"/>
    <col min="3863" max="3863" width="8.7109375" style="695" customWidth="1"/>
    <col min="3864" max="3864" width="9.42578125" style="695" customWidth="1"/>
    <col min="3865" max="3865" width="8.28515625" style="695" customWidth="1"/>
    <col min="3866" max="3866" width="7.42578125" style="695" customWidth="1"/>
    <col min="3867" max="3867" width="12.85546875" style="695" bestFit="1" customWidth="1"/>
    <col min="3868" max="4096" width="9.140625" style="695"/>
    <col min="4097" max="4097" width="5" style="695" customWidth="1"/>
    <col min="4098" max="4098" width="41.140625" style="695" customWidth="1"/>
    <col min="4099" max="4099" width="8.7109375" style="695" customWidth="1"/>
    <col min="4100" max="4100" width="11.7109375" style="695" customWidth="1"/>
    <col min="4101" max="4101" width="7.42578125" style="695" customWidth="1"/>
    <col min="4102" max="4102" width="8.5703125" style="695" customWidth="1"/>
    <col min="4103" max="4103" width="8.140625" style="695" customWidth="1"/>
    <col min="4104" max="4104" width="10.140625" style="695" customWidth="1"/>
    <col min="4105" max="4105" width="8.28515625" style="695" customWidth="1"/>
    <col min="4106" max="4106" width="8.7109375" style="695" customWidth="1"/>
    <col min="4107" max="4107" width="7.7109375" style="695" customWidth="1"/>
    <col min="4108" max="4108" width="8.28515625" style="695" customWidth="1"/>
    <col min="4109" max="4109" width="6.140625" style="695" customWidth="1"/>
    <col min="4110" max="4110" width="8.28515625" style="695" customWidth="1"/>
    <col min="4111" max="4111" width="8.7109375" style="695" customWidth="1"/>
    <col min="4112" max="4112" width="7.28515625" style="695" customWidth="1"/>
    <col min="4113" max="4113" width="8" style="695" customWidth="1"/>
    <col min="4114" max="4114" width="7.85546875" style="695" customWidth="1"/>
    <col min="4115" max="4115" width="8.7109375" style="695" customWidth="1"/>
    <col min="4116" max="4117" width="9" style="695" customWidth="1"/>
    <col min="4118" max="4118" width="7.7109375" style="695" customWidth="1"/>
    <col min="4119" max="4119" width="8.7109375" style="695" customWidth="1"/>
    <col min="4120" max="4120" width="9.42578125" style="695" customWidth="1"/>
    <col min="4121" max="4121" width="8.28515625" style="695" customWidth="1"/>
    <col min="4122" max="4122" width="7.42578125" style="695" customWidth="1"/>
    <col min="4123" max="4123" width="12.85546875" style="695" bestFit="1" customWidth="1"/>
    <col min="4124" max="4352" width="9.140625" style="695"/>
    <col min="4353" max="4353" width="5" style="695" customWidth="1"/>
    <col min="4354" max="4354" width="41.140625" style="695" customWidth="1"/>
    <col min="4355" max="4355" width="8.7109375" style="695" customWidth="1"/>
    <col min="4356" max="4356" width="11.7109375" style="695" customWidth="1"/>
    <col min="4357" max="4357" width="7.42578125" style="695" customWidth="1"/>
    <col min="4358" max="4358" width="8.5703125" style="695" customWidth="1"/>
    <col min="4359" max="4359" width="8.140625" style="695" customWidth="1"/>
    <col min="4360" max="4360" width="10.140625" style="695" customWidth="1"/>
    <col min="4361" max="4361" width="8.28515625" style="695" customWidth="1"/>
    <col min="4362" max="4362" width="8.7109375" style="695" customWidth="1"/>
    <col min="4363" max="4363" width="7.7109375" style="695" customWidth="1"/>
    <col min="4364" max="4364" width="8.28515625" style="695" customWidth="1"/>
    <col min="4365" max="4365" width="6.140625" style="695" customWidth="1"/>
    <col min="4366" max="4366" width="8.28515625" style="695" customWidth="1"/>
    <col min="4367" max="4367" width="8.7109375" style="695" customWidth="1"/>
    <col min="4368" max="4368" width="7.28515625" style="695" customWidth="1"/>
    <col min="4369" max="4369" width="8" style="695" customWidth="1"/>
    <col min="4370" max="4370" width="7.85546875" style="695" customWidth="1"/>
    <col min="4371" max="4371" width="8.7109375" style="695" customWidth="1"/>
    <col min="4372" max="4373" width="9" style="695" customWidth="1"/>
    <col min="4374" max="4374" width="7.7109375" style="695" customWidth="1"/>
    <col min="4375" max="4375" width="8.7109375" style="695" customWidth="1"/>
    <col min="4376" max="4376" width="9.42578125" style="695" customWidth="1"/>
    <col min="4377" max="4377" width="8.28515625" style="695" customWidth="1"/>
    <col min="4378" max="4378" width="7.42578125" style="695" customWidth="1"/>
    <col min="4379" max="4379" width="12.85546875" style="695" bestFit="1" customWidth="1"/>
    <col min="4380" max="4608" width="9.140625" style="695"/>
    <col min="4609" max="4609" width="5" style="695" customWidth="1"/>
    <col min="4610" max="4610" width="41.140625" style="695" customWidth="1"/>
    <col min="4611" max="4611" width="8.7109375" style="695" customWidth="1"/>
    <col min="4612" max="4612" width="11.7109375" style="695" customWidth="1"/>
    <col min="4613" max="4613" width="7.42578125" style="695" customWidth="1"/>
    <col min="4614" max="4614" width="8.5703125" style="695" customWidth="1"/>
    <col min="4615" max="4615" width="8.140625" style="695" customWidth="1"/>
    <col min="4616" max="4616" width="10.140625" style="695" customWidth="1"/>
    <col min="4617" max="4617" width="8.28515625" style="695" customWidth="1"/>
    <col min="4618" max="4618" width="8.7109375" style="695" customWidth="1"/>
    <col min="4619" max="4619" width="7.7109375" style="695" customWidth="1"/>
    <col min="4620" max="4620" width="8.28515625" style="695" customWidth="1"/>
    <col min="4621" max="4621" width="6.140625" style="695" customWidth="1"/>
    <col min="4622" max="4622" width="8.28515625" style="695" customWidth="1"/>
    <col min="4623" max="4623" width="8.7109375" style="695" customWidth="1"/>
    <col min="4624" max="4624" width="7.28515625" style="695" customWidth="1"/>
    <col min="4625" max="4625" width="8" style="695" customWidth="1"/>
    <col min="4626" max="4626" width="7.85546875" style="695" customWidth="1"/>
    <col min="4627" max="4627" width="8.7109375" style="695" customWidth="1"/>
    <col min="4628" max="4629" width="9" style="695" customWidth="1"/>
    <col min="4630" max="4630" width="7.7109375" style="695" customWidth="1"/>
    <col min="4631" max="4631" width="8.7109375" style="695" customWidth="1"/>
    <col min="4632" max="4632" width="9.42578125" style="695" customWidth="1"/>
    <col min="4633" max="4633" width="8.28515625" style="695" customWidth="1"/>
    <col min="4634" max="4634" width="7.42578125" style="695" customWidth="1"/>
    <col min="4635" max="4635" width="12.85546875" style="695" bestFit="1" customWidth="1"/>
    <col min="4636" max="4864" width="9.140625" style="695"/>
    <col min="4865" max="4865" width="5" style="695" customWidth="1"/>
    <col min="4866" max="4866" width="41.140625" style="695" customWidth="1"/>
    <col min="4867" max="4867" width="8.7109375" style="695" customWidth="1"/>
    <col min="4868" max="4868" width="11.7109375" style="695" customWidth="1"/>
    <col min="4869" max="4869" width="7.42578125" style="695" customWidth="1"/>
    <col min="4870" max="4870" width="8.5703125" style="695" customWidth="1"/>
    <col min="4871" max="4871" width="8.140625" style="695" customWidth="1"/>
    <col min="4872" max="4872" width="10.140625" style="695" customWidth="1"/>
    <col min="4873" max="4873" width="8.28515625" style="695" customWidth="1"/>
    <col min="4874" max="4874" width="8.7109375" style="695" customWidth="1"/>
    <col min="4875" max="4875" width="7.7109375" style="695" customWidth="1"/>
    <col min="4876" max="4876" width="8.28515625" style="695" customWidth="1"/>
    <col min="4877" max="4877" width="6.140625" style="695" customWidth="1"/>
    <col min="4878" max="4878" width="8.28515625" style="695" customWidth="1"/>
    <col min="4879" max="4879" width="8.7109375" style="695" customWidth="1"/>
    <col min="4880" max="4880" width="7.28515625" style="695" customWidth="1"/>
    <col min="4881" max="4881" width="8" style="695" customWidth="1"/>
    <col min="4882" max="4882" width="7.85546875" style="695" customWidth="1"/>
    <col min="4883" max="4883" width="8.7109375" style="695" customWidth="1"/>
    <col min="4884" max="4885" width="9" style="695" customWidth="1"/>
    <col min="4886" max="4886" width="7.7109375" style="695" customWidth="1"/>
    <col min="4887" max="4887" width="8.7109375" style="695" customWidth="1"/>
    <col min="4888" max="4888" width="9.42578125" style="695" customWidth="1"/>
    <col min="4889" max="4889" width="8.28515625" style="695" customWidth="1"/>
    <col min="4890" max="4890" width="7.42578125" style="695" customWidth="1"/>
    <col min="4891" max="4891" width="12.85546875" style="695" bestFit="1" customWidth="1"/>
    <col min="4892" max="5120" width="9.140625" style="695"/>
    <col min="5121" max="5121" width="5" style="695" customWidth="1"/>
    <col min="5122" max="5122" width="41.140625" style="695" customWidth="1"/>
    <col min="5123" max="5123" width="8.7109375" style="695" customWidth="1"/>
    <col min="5124" max="5124" width="11.7109375" style="695" customWidth="1"/>
    <col min="5125" max="5125" width="7.42578125" style="695" customWidth="1"/>
    <col min="5126" max="5126" width="8.5703125" style="695" customWidth="1"/>
    <col min="5127" max="5127" width="8.140625" style="695" customWidth="1"/>
    <col min="5128" max="5128" width="10.140625" style="695" customWidth="1"/>
    <col min="5129" max="5129" width="8.28515625" style="695" customWidth="1"/>
    <col min="5130" max="5130" width="8.7109375" style="695" customWidth="1"/>
    <col min="5131" max="5131" width="7.7109375" style="695" customWidth="1"/>
    <col min="5132" max="5132" width="8.28515625" style="695" customWidth="1"/>
    <col min="5133" max="5133" width="6.140625" style="695" customWidth="1"/>
    <col min="5134" max="5134" width="8.28515625" style="695" customWidth="1"/>
    <col min="5135" max="5135" width="8.7109375" style="695" customWidth="1"/>
    <col min="5136" max="5136" width="7.28515625" style="695" customWidth="1"/>
    <col min="5137" max="5137" width="8" style="695" customWidth="1"/>
    <col min="5138" max="5138" width="7.85546875" style="695" customWidth="1"/>
    <col min="5139" max="5139" width="8.7109375" style="695" customWidth="1"/>
    <col min="5140" max="5141" width="9" style="695" customWidth="1"/>
    <col min="5142" max="5142" width="7.7109375" style="695" customWidth="1"/>
    <col min="5143" max="5143" width="8.7109375" style="695" customWidth="1"/>
    <col min="5144" max="5144" width="9.42578125" style="695" customWidth="1"/>
    <col min="5145" max="5145" width="8.28515625" style="695" customWidth="1"/>
    <col min="5146" max="5146" width="7.42578125" style="695" customWidth="1"/>
    <col min="5147" max="5147" width="12.85546875" style="695" bestFit="1" customWidth="1"/>
    <col min="5148" max="5376" width="9.140625" style="695"/>
    <col min="5377" max="5377" width="5" style="695" customWidth="1"/>
    <col min="5378" max="5378" width="41.140625" style="695" customWidth="1"/>
    <col min="5379" max="5379" width="8.7109375" style="695" customWidth="1"/>
    <col min="5380" max="5380" width="11.7109375" style="695" customWidth="1"/>
    <col min="5381" max="5381" width="7.42578125" style="695" customWidth="1"/>
    <col min="5382" max="5382" width="8.5703125" style="695" customWidth="1"/>
    <col min="5383" max="5383" width="8.140625" style="695" customWidth="1"/>
    <col min="5384" max="5384" width="10.140625" style="695" customWidth="1"/>
    <col min="5385" max="5385" width="8.28515625" style="695" customWidth="1"/>
    <col min="5386" max="5386" width="8.7109375" style="695" customWidth="1"/>
    <col min="5387" max="5387" width="7.7109375" style="695" customWidth="1"/>
    <col min="5388" max="5388" width="8.28515625" style="695" customWidth="1"/>
    <col min="5389" max="5389" width="6.140625" style="695" customWidth="1"/>
    <col min="5390" max="5390" width="8.28515625" style="695" customWidth="1"/>
    <col min="5391" max="5391" width="8.7109375" style="695" customWidth="1"/>
    <col min="5392" max="5392" width="7.28515625" style="695" customWidth="1"/>
    <col min="5393" max="5393" width="8" style="695" customWidth="1"/>
    <col min="5394" max="5394" width="7.85546875" style="695" customWidth="1"/>
    <col min="5395" max="5395" width="8.7109375" style="695" customWidth="1"/>
    <col min="5396" max="5397" width="9" style="695" customWidth="1"/>
    <col min="5398" max="5398" width="7.7109375" style="695" customWidth="1"/>
    <col min="5399" max="5399" width="8.7109375" style="695" customWidth="1"/>
    <col min="5400" max="5400" width="9.42578125" style="695" customWidth="1"/>
    <col min="5401" max="5401" width="8.28515625" style="695" customWidth="1"/>
    <col min="5402" max="5402" width="7.42578125" style="695" customWidth="1"/>
    <col min="5403" max="5403" width="12.85546875" style="695" bestFit="1" customWidth="1"/>
    <col min="5404" max="5632" width="9.140625" style="695"/>
    <col min="5633" max="5633" width="5" style="695" customWidth="1"/>
    <col min="5634" max="5634" width="41.140625" style="695" customWidth="1"/>
    <col min="5635" max="5635" width="8.7109375" style="695" customWidth="1"/>
    <col min="5636" max="5636" width="11.7109375" style="695" customWidth="1"/>
    <col min="5637" max="5637" width="7.42578125" style="695" customWidth="1"/>
    <col min="5638" max="5638" width="8.5703125" style="695" customWidth="1"/>
    <col min="5639" max="5639" width="8.140625" style="695" customWidth="1"/>
    <col min="5640" max="5640" width="10.140625" style="695" customWidth="1"/>
    <col min="5641" max="5641" width="8.28515625" style="695" customWidth="1"/>
    <col min="5642" max="5642" width="8.7109375" style="695" customWidth="1"/>
    <col min="5643" max="5643" width="7.7109375" style="695" customWidth="1"/>
    <col min="5644" max="5644" width="8.28515625" style="695" customWidth="1"/>
    <col min="5645" max="5645" width="6.140625" style="695" customWidth="1"/>
    <col min="5646" max="5646" width="8.28515625" style="695" customWidth="1"/>
    <col min="5647" max="5647" width="8.7109375" style="695" customWidth="1"/>
    <col min="5648" max="5648" width="7.28515625" style="695" customWidth="1"/>
    <col min="5649" max="5649" width="8" style="695" customWidth="1"/>
    <col min="5650" max="5650" width="7.85546875" style="695" customWidth="1"/>
    <col min="5651" max="5651" width="8.7109375" style="695" customWidth="1"/>
    <col min="5652" max="5653" width="9" style="695" customWidth="1"/>
    <col min="5654" max="5654" width="7.7109375" style="695" customWidth="1"/>
    <col min="5655" max="5655" width="8.7109375" style="695" customWidth="1"/>
    <col min="5656" max="5656" width="9.42578125" style="695" customWidth="1"/>
    <col min="5657" max="5657" width="8.28515625" style="695" customWidth="1"/>
    <col min="5658" max="5658" width="7.42578125" style="695" customWidth="1"/>
    <col min="5659" max="5659" width="12.85546875" style="695" bestFit="1" customWidth="1"/>
    <col min="5660" max="5888" width="9.140625" style="695"/>
    <col min="5889" max="5889" width="5" style="695" customWidth="1"/>
    <col min="5890" max="5890" width="41.140625" style="695" customWidth="1"/>
    <col min="5891" max="5891" width="8.7109375" style="695" customWidth="1"/>
    <col min="5892" max="5892" width="11.7109375" style="695" customWidth="1"/>
    <col min="5893" max="5893" width="7.42578125" style="695" customWidth="1"/>
    <col min="5894" max="5894" width="8.5703125" style="695" customWidth="1"/>
    <col min="5895" max="5895" width="8.140625" style="695" customWidth="1"/>
    <col min="5896" max="5896" width="10.140625" style="695" customWidth="1"/>
    <col min="5897" max="5897" width="8.28515625" style="695" customWidth="1"/>
    <col min="5898" max="5898" width="8.7109375" style="695" customWidth="1"/>
    <col min="5899" max="5899" width="7.7109375" style="695" customWidth="1"/>
    <col min="5900" max="5900" width="8.28515625" style="695" customWidth="1"/>
    <col min="5901" max="5901" width="6.140625" style="695" customWidth="1"/>
    <col min="5902" max="5902" width="8.28515625" style="695" customWidth="1"/>
    <col min="5903" max="5903" width="8.7109375" style="695" customWidth="1"/>
    <col min="5904" max="5904" width="7.28515625" style="695" customWidth="1"/>
    <col min="5905" max="5905" width="8" style="695" customWidth="1"/>
    <col min="5906" max="5906" width="7.85546875" style="695" customWidth="1"/>
    <col min="5907" max="5907" width="8.7109375" style="695" customWidth="1"/>
    <col min="5908" max="5909" width="9" style="695" customWidth="1"/>
    <col min="5910" max="5910" width="7.7109375" style="695" customWidth="1"/>
    <col min="5911" max="5911" width="8.7109375" style="695" customWidth="1"/>
    <col min="5912" max="5912" width="9.42578125" style="695" customWidth="1"/>
    <col min="5913" max="5913" width="8.28515625" style="695" customWidth="1"/>
    <col min="5914" max="5914" width="7.42578125" style="695" customWidth="1"/>
    <col min="5915" max="5915" width="12.85546875" style="695" bestFit="1" customWidth="1"/>
    <col min="5916" max="6144" width="9.140625" style="695"/>
    <col min="6145" max="6145" width="5" style="695" customWidth="1"/>
    <col min="6146" max="6146" width="41.140625" style="695" customWidth="1"/>
    <col min="6147" max="6147" width="8.7109375" style="695" customWidth="1"/>
    <col min="6148" max="6148" width="11.7109375" style="695" customWidth="1"/>
    <col min="6149" max="6149" width="7.42578125" style="695" customWidth="1"/>
    <col min="6150" max="6150" width="8.5703125" style="695" customWidth="1"/>
    <col min="6151" max="6151" width="8.140625" style="695" customWidth="1"/>
    <col min="6152" max="6152" width="10.140625" style="695" customWidth="1"/>
    <col min="6153" max="6153" width="8.28515625" style="695" customWidth="1"/>
    <col min="6154" max="6154" width="8.7109375" style="695" customWidth="1"/>
    <col min="6155" max="6155" width="7.7109375" style="695" customWidth="1"/>
    <col min="6156" max="6156" width="8.28515625" style="695" customWidth="1"/>
    <col min="6157" max="6157" width="6.140625" style="695" customWidth="1"/>
    <col min="6158" max="6158" width="8.28515625" style="695" customWidth="1"/>
    <col min="6159" max="6159" width="8.7109375" style="695" customWidth="1"/>
    <col min="6160" max="6160" width="7.28515625" style="695" customWidth="1"/>
    <col min="6161" max="6161" width="8" style="695" customWidth="1"/>
    <col min="6162" max="6162" width="7.85546875" style="695" customWidth="1"/>
    <col min="6163" max="6163" width="8.7109375" style="695" customWidth="1"/>
    <col min="6164" max="6165" width="9" style="695" customWidth="1"/>
    <col min="6166" max="6166" width="7.7109375" style="695" customWidth="1"/>
    <col min="6167" max="6167" width="8.7109375" style="695" customWidth="1"/>
    <col min="6168" max="6168" width="9.42578125" style="695" customWidth="1"/>
    <col min="6169" max="6169" width="8.28515625" style="695" customWidth="1"/>
    <col min="6170" max="6170" width="7.42578125" style="695" customWidth="1"/>
    <col min="6171" max="6171" width="12.85546875" style="695" bestFit="1" customWidth="1"/>
    <col min="6172" max="6400" width="9.140625" style="695"/>
    <col min="6401" max="6401" width="5" style="695" customWidth="1"/>
    <col min="6402" max="6402" width="41.140625" style="695" customWidth="1"/>
    <col min="6403" max="6403" width="8.7109375" style="695" customWidth="1"/>
    <col min="6404" max="6404" width="11.7109375" style="695" customWidth="1"/>
    <col min="6405" max="6405" width="7.42578125" style="695" customWidth="1"/>
    <col min="6406" max="6406" width="8.5703125" style="695" customWidth="1"/>
    <col min="6407" max="6407" width="8.140625" style="695" customWidth="1"/>
    <col min="6408" max="6408" width="10.140625" style="695" customWidth="1"/>
    <col min="6409" max="6409" width="8.28515625" style="695" customWidth="1"/>
    <col min="6410" max="6410" width="8.7109375" style="695" customWidth="1"/>
    <col min="6411" max="6411" width="7.7109375" style="695" customWidth="1"/>
    <col min="6412" max="6412" width="8.28515625" style="695" customWidth="1"/>
    <col min="6413" max="6413" width="6.140625" style="695" customWidth="1"/>
    <col min="6414" max="6414" width="8.28515625" style="695" customWidth="1"/>
    <col min="6415" max="6415" width="8.7109375" style="695" customWidth="1"/>
    <col min="6416" max="6416" width="7.28515625" style="695" customWidth="1"/>
    <col min="6417" max="6417" width="8" style="695" customWidth="1"/>
    <col min="6418" max="6418" width="7.85546875" style="695" customWidth="1"/>
    <col min="6419" max="6419" width="8.7109375" style="695" customWidth="1"/>
    <col min="6420" max="6421" width="9" style="695" customWidth="1"/>
    <col min="6422" max="6422" width="7.7109375" style="695" customWidth="1"/>
    <col min="6423" max="6423" width="8.7109375" style="695" customWidth="1"/>
    <col min="6424" max="6424" width="9.42578125" style="695" customWidth="1"/>
    <col min="6425" max="6425" width="8.28515625" style="695" customWidth="1"/>
    <col min="6426" max="6426" width="7.42578125" style="695" customWidth="1"/>
    <col min="6427" max="6427" width="12.85546875" style="695" bestFit="1" customWidth="1"/>
    <col min="6428" max="6656" width="9.140625" style="695"/>
    <col min="6657" max="6657" width="5" style="695" customWidth="1"/>
    <col min="6658" max="6658" width="41.140625" style="695" customWidth="1"/>
    <col min="6659" max="6659" width="8.7109375" style="695" customWidth="1"/>
    <col min="6660" max="6660" width="11.7109375" style="695" customWidth="1"/>
    <col min="6661" max="6661" width="7.42578125" style="695" customWidth="1"/>
    <col min="6662" max="6662" width="8.5703125" style="695" customWidth="1"/>
    <col min="6663" max="6663" width="8.140625" style="695" customWidth="1"/>
    <col min="6664" max="6664" width="10.140625" style="695" customWidth="1"/>
    <col min="6665" max="6665" width="8.28515625" style="695" customWidth="1"/>
    <col min="6666" max="6666" width="8.7109375" style="695" customWidth="1"/>
    <col min="6667" max="6667" width="7.7109375" style="695" customWidth="1"/>
    <col min="6668" max="6668" width="8.28515625" style="695" customWidth="1"/>
    <col min="6669" max="6669" width="6.140625" style="695" customWidth="1"/>
    <col min="6670" max="6670" width="8.28515625" style="695" customWidth="1"/>
    <col min="6671" max="6671" width="8.7109375" style="695" customWidth="1"/>
    <col min="6672" max="6672" width="7.28515625" style="695" customWidth="1"/>
    <col min="6673" max="6673" width="8" style="695" customWidth="1"/>
    <col min="6674" max="6674" width="7.85546875" style="695" customWidth="1"/>
    <col min="6675" max="6675" width="8.7109375" style="695" customWidth="1"/>
    <col min="6676" max="6677" width="9" style="695" customWidth="1"/>
    <col min="6678" max="6678" width="7.7109375" style="695" customWidth="1"/>
    <col min="6679" max="6679" width="8.7109375" style="695" customWidth="1"/>
    <col min="6680" max="6680" width="9.42578125" style="695" customWidth="1"/>
    <col min="6681" max="6681" width="8.28515625" style="695" customWidth="1"/>
    <col min="6682" max="6682" width="7.42578125" style="695" customWidth="1"/>
    <col min="6683" max="6683" width="12.85546875" style="695" bestFit="1" customWidth="1"/>
    <col min="6684" max="6912" width="9.140625" style="695"/>
    <col min="6913" max="6913" width="5" style="695" customWidth="1"/>
    <col min="6914" max="6914" width="41.140625" style="695" customWidth="1"/>
    <col min="6915" max="6915" width="8.7109375" style="695" customWidth="1"/>
    <col min="6916" max="6916" width="11.7109375" style="695" customWidth="1"/>
    <col min="6917" max="6917" width="7.42578125" style="695" customWidth="1"/>
    <col min="6918" max="6918" width="8.5703125" style="695" customWidth="1"/>
    <col min="6919" max="6919" width="8.140625" style="695" customWidth="1"/>
    <col min="6920" max="6920" width="10.140625" style="695" customWidth="1"/>
    <col min="6921" max="6921" width="8.28515625" style="695" customWidth="1"/>
    <col min="6922" max="6922" width="8.7109375" style="695" customWidth="1"/>
    <col min="6923" max="6923" width="7.7109375" style="695" customWidth="1"/>
    <col min="6924" max="6924" width="8.28515625" style="695" customWidth="1"/>
    <col min="6925" max="6925" width="6.140625" style="695" customWidth="1"/>
    <col min="6926" max="6926" width="8.28515625" style="695" customWidth="1"/>
    <col min="6927" max="6927" width="8.7109375" style="695" customWidth="1"/>
    <col min="6928" max="6928" width="7.28515625" style="695" customWidth="1"/>
    <col min="6929" max="6929" width="8" style="695" customWidth="1"/>
    <col min="6930" max="6930" width="7.85546875" style="695" customWidth="1"/>
    <col min="6931" max="6931" width="8.7109375" style="695" customWidth="1"/>
    <col min="6932" max="6933" width="9" style="695" customWidth="1"/>
    <col min="6934" max="6934" width="7.7109375" style="695" customWidth="1"/>
    <col min="6935" max="6935" width="8.7109375" style="695" customWidth="1"/>
    <col min="6936" max="6936" width="9.42578125" style="695" customWidth="1"/>
    <col min="6937" max="6937" width="8.28515625" style="695" customWidth="1"/>
    <col min="6938" max="6938" width="7.42578125" style="695" customWidth="1"/>
    <col min="6939" max="6939" width="12.85546875" style="695" bestFit="1" customWidth="1"/>
    <col min="6940" max="7168" width="9.140625" style="695"/>
    <col min="7169" max="7169" width="5" style="695" customWidth="1"/>
    <col min="7170" max="7170" width="41.140625" style="695" customWidth="1"/>
    <col min="7171" max="7171" width="8.7109375" style="695" customWidth="1"/>
    <col min="7172" max="7172" width="11.7109375" style="695" customWidth="1"/>
    <col min="7173" max="7173" width="7.42578125" style="695" customWidth="1"/>
    <col min="7174" max="7174" width="8.5703125" style="695" customWidth="1"/>
    <col min="7175" max="7175" width="8.140625" style="695" customWidth="1"/>
    <col min="7176" max="7176" width="10.140625" style="695" customWidth="1"/>
    <col min="7177" max="7177" width="8.28515625" style="695" customWidth="1"/>
    <col min="7178" max="7178" width="8.7109375" style="695" customWidth="1"/>
    <col min="7179" max="7179" width="7.7109375" style="695" customWidth="1"/>
    <col min="7180" max="7180" width="8.28515625" style="695" customWidth="1"/>
    <col min="7181" max="7181" width="6.140625" style="695" customWidth="1"/>
    <col min="7182" max="7182" width="8.28515625" style="695" customWidth="1"/>
    <col min="7183" max="7183" width="8.7109375" style="695" customWidth="1"/>
    <col min="7184" max="7184" width="7.28515625" style="695" customWidth="1"/>
    <col min="7185" max="7185" width="8" style="695" customWidth="1"/>
    <col min="7186" max="7186" width="7.85546875" style="695" customWidth="1"/>
    <col min="7187" max="7187" width="8.7109375" style="695" customWidth="1"/>
    <col min="7188" max="7189" width="9" style="695" customWidth="1"/>
    <col min="7190" max="7190" width="7.7109375" style="695" customWidth="1"/>
    <col min="7191" max="7191" width="8.7109375" style="695" customWidth="1"/>
    <col min="7192" max="7192" width="9.42578125" style="695" customWidth="1"/>
    <col min="7193" max="7193" width="8.28515625" style="695" customWidth="1"/>
    <col min="7194" max="7194" width="7.42578125" style="695" customWidth="1"/>
    <col min="7195" max="7195" width="12.85546875" style="695" bestFit="1" customWidth="1"/>
    <col min="7196" max="7424" width="9.140625" style="695"/>
    <col min="7425" max="7425" width="5" style="695" customWidth="1"/>
    <col min="7426" max="7426" width="41.140625" style="695" customWidth="1"/>
    <col min="7427" max="7427" width="8.7109375" style="695" customWidth="1"/>
    <col min="7428" max="7428" width="11.7109375" style="695" customWidth="1"/>
    <col min="7429" max="7429" width="7.42578125" style="695" customWidth="1"/>
    <col min="7430" max="7430" width="8.5703125" style="695" customWidth="1"/>
    <col min="7431" max="7431" width="8.140625" style="695" customWidth="1"/>
    <col min="7432" max="7432" width="10.140625" style="695" customWidth="1"/>
    <col min="7433" max="7433" width="8.28515625" style="695" customWidth="1"/>
    <col min="7434" max="7434" width="8.7109375" style="695" customWidth="1"/>
    <col min="7435" max="7435" width="7.7109375" style="695" customWidth="1"/>
    <col min="7436" max="7436" width="8.28515625" style="695" customWidth="1"/>
    <col min="7437" max="7437" width="6.140625" style="695" customWidth="1"/>
    <col min="7438" max="7438" width="8.28515625" style="695" customWidth="1"/>
    <col min="7439" max="7439" width="8.7109375" style="695" customWidth="1"/>
    <col min="7440" max="7440" width="7.28515625" style="695" customWidth="1"/>
    <col min="7441" max="7441" width="8" style="695" customWidth="1"/>
    <col min="7442" max="7442" width="7.85546875" style="695" customWidth="1"/>
    <col min="7443" max="7443" width="8.7109375" style="695" customWidth="1"/>
    <col min="7444" max="7445" width="9" style="695" customWidth="1"/>
    <col min="7446" max="7446" width="7.7109375" style="695" customWidth="1"/>
    <col min="7447" max="7447" width="8.7109375" style="695" customWidth="1"/>
    <col min="7448" max="7448" width="9.42578125" style="695" customWidth="1"/>
    <col min="7449" max="7449" width="8.28515625" style="695" customWidth="1"/>
    <col min="7450" max="7450" width="7.42578125" style="695" customWidth="1"/>
    <col min="7451" max="7451" width="12.85546875" style="695" bestFit="1" customWidth="1"/>
    <col min="7452" max="7680" width="9.140625" style="695"/>
    <col min="7681" max="7681" width="5" style="695" customWidth="1"/>
    <col min="7682" max="7682" width="41.140625" style="695" customWidth="1"/>
    <col min="7683" max="7683" width="8.7109375" style="695" customWidth="1"/>
    <col min="7684" max="7684" width="11.7109375" style="695" customWidth="1"/>
    <col min="7685" max="7685" width="7.42578125" style="695" customWidth="1"/>
    <col min="7686" max="7686" width="8.5703125" style="695" customWidth="1"/>
    <col min="7687" max="7687" width="8.140625" style="695" customWidth="1"/>
    <col min="7688" max="7688" width="10.140625" style="695" customWidth="1"/>
    <col min="7689" max="7689" width="8.28515625" style="695" customWidth="1"/>
    <col min="7690" max="7690" width="8.7109375" style="695" customWidth="1"/>
    <col min="7691" max="7691" width="7.7109375" style="695" customWidth="1"/>
    <col min="7692" max="7692" width="8.28515625" style="695" customWidth="1"/>
    <col min="7693" max="7693" width="6.140625" style="695" customWidth="1"/>
    <col min="7694" max="7694" width="8.28515625" style="695" customWidth="1"/>
    <col min="7695" max="7695" width="8.7109375" style="695" customWidth="1"/>
    <col min="7696" max="7696" width="7.28515625" style="695" customWidth="1"/>
    <col min="7697" max="7697" width="8" style="695" customWidth="1"/>
    <col min="7698" max="7698" width="7.85546875" style="695" customWidth="1"/>
    <col min="7699" max="7699" width="8.7109375" style="695" customWidth="1"/>
    <col min="7700" max="7701" width="9" style="695" customWidth="1"/>
    <col min="7702" max="7702" width="7.7109375" style="695" customWidth="1"/>
    <col min="7703" max="7703" width="8.7109375" style="695" customWidth="1"/>
    <col min="7704" max="7704" width="9.42578125" style="695" customWidth="1"/>
    <col min="7705" max="7705" width="8.28515625" style="695" customWidth="1"/>
    <col min="7706" max="7706" width="7.42578125" style="695" customWidth="1"/>
    <col min="7707" max="7707" width="12.85546875" style="695" bestFit="1" customWidth="1"/>
    <col min="7708" max="7936" width="9.140625" style="695"/>
    <col min="7937" max="7937" width="5" style="695" customWidth="1"/>
    <col min="7938" max="7938" width="41.140625" style="695" customWidth="1"/>
    <col min="7939" max="7939" width="8.7109375" style="695" customWidth="1"/>
    <col min="7940" max="7940" width="11.7109375" style="695" customWidth="1"/>
    <col min="7941" max="7941" width="7.42578125" style="695" customWidth="1"/>
    <col min="7942" max="7942" width="8.5703125" style="695" customWidth="1"/>
    <col min="7943" max="7943" width="8.140625" style="695" customWidth="1"/>
    <col min="7944" max="7944" width="10.140625" style="695" customWidth="1"/>
    <col min="7945" max="7945" width="8.28515625" style="695" customWidth="1"/>
    <col min="7946" max="7946" width="8.7109375" style="695" customWidth="1"/>
    <col min="7947" max="7947" width="7.7109375" style="695" customWidth="1"/>
    <col min="7948" max="7948" width="8.28515625" style="695" customWidth="1"/>
    <col min="7949" max="7949" width="6.140625" style="695" customWidth="1"/>
    <col min="7950" max="7950" width="8.28515625" style="695" customWidth="1"/>
    <col min="7951" max="7951" width="8.7109375" style="695" customWidth="1"/>
    <col min="7952" max="7952" width="7.28515625" style="695" customWidth="1"/>
    <col min="7953" max="7953" width="8" style="695" customWidth="1"/>
    <col min="7954" max="7954" width="7.85546875" style="695" customWidth="1"/>
    <col min="7955" max="7955" width="8.7109375" style="695" customWidth="1"/>
    <col min="7956" max="7957" width="9" style="695" customWidth="1"/>
    <col min="7958" max="7958" width="7.7109375" style="695" customWidth="1"/>
    <col min="7959" max="7959" width="8.7109375" style="695" customWidth="1"/>
    <col min="7960" max="7960" width="9.42578125" style="695" customWidth="1"/>
    <col min="7961" max="7961" width="8.28515625" style="695" customWidth="1"/>
    <col min="7962" max="7962" width="7.42578125" style="695" customWidth="1"/>
    <col min="7963" max="7963" width="12.85546875" style="695" bestFit="1" customWidth="1"/>
    <col min="7964" max="8192" width="9.140625" style="695"/>
    <col min="8193" max="8193" width="5" style="695" customWidth="1"/>
    <col min="8194" max="8194" width="41.140625" style="695" customWidth="1"/>
    <col min="8195" max="8195" width="8.7109375" style="695" customWidth="1"/>
    <col min="8196" max="8196" width="11.7109375" style="695" customWidth="1"/>
    <col min="8197" max="8197" width="7.42578125" style="695" customWidth="1"/>
    <col min="8198" max="8198" width="8.5703125" style="695" customWidth="1"/>
    <col min="8199" max="8199" width="8.140625" style="695" customWidth="1"/>
    <col min="8200" max="8200" width="10.140625" style="695" customWidth="1"/>
    <col min="8201" max="8201" width="8.28515625" style="695" customWidth="1"/>
    <col min="8202" max="8202" width="8.7109375" style="695" customWidth="1"/>
    <col min="8203" max="8203" width="7.7109375" style="695" customWidth="1"/>
    <col min="8204" max="8204" width="8.28515625" style="695" customWidth="1"/>
    <col min="8205" max="8205" width="6.140625" style="695" customWidth="1"/>
    <col min="8206" max="8206" width="8.28515625" style="695" customWidth="1"/>
    <col min="8207" max="8207" width="8.7109375" style="695" customWidth="1"/>
    <col min="8208" max="8208" width="7.28515625" style="695" customWidth="1"/>
    <col min="8209" max="8209" width="8" style="695" customWidth="1"/>
    <col min="8210" max="8210" width="7.85546875" style="695" customWidth="1"/>
    <col min="8211" max="8211" width="8.7109375" style="695" customWidth="1"/>
    <col min="8212" max="8213" width="9" style="695" customWidth="1"/>
    <col min="8214" max="8214" width="7.7109375" style="695" customWidth="1"/>
    <col min="8215" max="8215" width="8.7109375" style="695" customWidth="1"/>
    <col min="8216" max="8216" width="9.42578125" style="695" customWidth="1"/>
    <col min="8217" max="8217" width="8.28515625" style="695" customWidth="1"/>
    <col min="8218" max="8218" width="7.42578125" style="695" customWidth="1"/>
    <col min="8219" max="8219" width="12.85546875" style="695" bestFit="1" customWidth="1"/>
    <col min="8220" max="8448" width="9.140625" style="695"/>
    <col min="8449" max="8449" width="5" style="695" customWidth="1"/>
    <col min="8450" max="8450" width="41.140625" style="695" customWidth="1"/>
    <col min="8451" max="8451" width="8.7109375" style="695" customWidth="1"/>
    <col min="8452" max="8452" width="11.7109375" style="695" customWidth="1"/>
    <col min="8453" max="8453" width="7.42578125" style="695" customWidth="1"/>
    <col min="8454" max="8454" width="8.5703125" style="695" customWidth="1"/>
    <col min="8455" max="8455" width="8.140625" style="695" customWidth="1"/>
    <col min="8456" max="8456" width="10.140625" style="695" customWidth="1"/>
    <col min="8457" max="8457" width="8.28515625" style="695" customWidth="1"/>
    <col min="8458" max="8458" width="8.7109375" style="695" customWidth="1"/>
    <col min="8459" max="8459" width="7.7109375" style="695" customWidth="1"/>
    <col min="8460" max="8460" width="8.28515625" style="695" customWidth="1"/>
    <col min="8461" max="8461" width="6.140625" style="695" customWidth="1"/>
    <col min="8462" max="8462" width="8.28515625" style="695" customWidth="1"/>
    <col min="8463" max="8463" width="8.7109375" style="695" customWidth="1"/>
    <col min="8464" max="8464" width="7.28515625" style="695" customWidth="1"/>
    <col min="8465" max="8465" width="8" style="695" customWidth="1"/>
    <col min="8466" max="8466" width="7.85546875" style="695" customWidth="1"/>
    <col min="8467" max="8467" width="8.7109375" style="695" customWidth="1"/>
    <col min="8468" max="8469" width="9" style="695" customWidth="1"/>
    <col min="8470" max="8470" width="7.7109375" style="695" customWidth="1"/>
    <col min="8471" max="8471" width="8.7109375" style="695" customWidth="1"/>
    <col min="8472" max="8472" width="9.42578125" style="695" customWidth="1"/>
    <col min="8473" max="8473" width="8.28515625" style="695" customWidth="1"/>
    <col min="8474" max="8474" width="7.42578125" style="695" customWidth="1"/>
    <col min="8475" max="8475" width="12.85546875" style="695" bestFit="1" customWidth="1"/>
    <col min="8476" max="8704" width="9.140625" style="695"/>
    <col min="8705" max="8705" width="5" style="695" customWidth="1"/>
    <col min="8706" max="8706" width="41.140625" style="695" customWidth="1"/>
    <col min="8707" max="8707" width="8.7109375" style="695" customWidth="1"/>
    <col min="8708" max="8708" width="11.7109375" style="695" customWidth="1"/>
    <col min="8709" max="8709" width="7.42578125" style="695" customWidth="1"/>
    <col min="8710" max="8710" width="8.5703125" style="695" customWidth="1"/>
    <col min="8711" max="8711" width="8.140625" style="695" customWidth="1"/>
    <col min="8712" max="8712" width="10.140625" style="695" customWidth="1"/>
    <col min="8713" max="8713" width="8.28515625" style="695" customWidth="1"/>
    <col min="8714" max="8714" width="8.7109375" style="695" customWidth="1"/>
    <col min="8715" max="8715" width="7.7109375" style="695" customWidth="1"/>
    <col min="8716" max="8716" width="8.28515625" style="695" customWidth="1"/>
    <col min="8717" max="8717" width="6.140625" style="695" customWidth="1"/>
    <col min="8718" max="8718" width="8.28515625" style="695" customWidth="1"/>
    <col min="8719" max="8719" width="8.7109375" style="695" customWidth="1"/>
    <col min="8720" max="8720" width="7.28515625" style="695" customWidth="1"/>
    <col min="8721" max="8721" width="8" style="695" customWidth="1"/>
    <col min="8722" max="8722" width="7.85546875" style="695" customWidth="1"/>
    <col min="8723" max="8723" width="8.7109375" style="695" customWidth="1"/>
    <col min="8724" max="8725" width="9" style="695" customWidth="1"/>
    <col min="8726" max="8726" width="7.7109375" style="695" customWidth="1"/>
    <col min="8727" max="8727" width="8.7109375" style="695" customWidth="1"/>
    <col min="8728" max="8728" width="9.42578125" style="695" customWidth="1"/>
    <col min="8729" max="8729" width="8.28515625" style="695" customWidth="1"/>
    <col min="8730" max="8730" width="7.42578125" style="695" customWidth="1"/>
    <col min="8731" max="8731" width="12.85546875" style="695" bestFit="1" customWidth="1"/>
    <col min="8732" max="8960" width="9.140625" style="695"/>
    <col min="8961" max="8961" width="5" style="695" customWidth="1"/>
    <col min="8962" max="8962" width="41.140625" style="695" customWidth="1"/>
    <col min="8963" max="8963" width="8.7109375" style="695" customWidth="1"/>
    <col min="8964" max="8964" width="11.7109375" style="695" customWidth="1"/>
    <col min="8965" max="8965" width="7.42578125" style="695" customWidth="1"/>
    <col min="8966" max="8966" width="8.5703125" style="695" customWidth="1"/>
    <col min="8967" max="8967" width="8.140625" style="695" customWidth="1"/>
    <col min="8968" max="8968" width="10.140625" style="695" customWidth="1"/>
    <col min="8969" max="8969" width="8.28515625" style="695" customWidth="1"/>
    <col min="8970" max="8970" width="8.7109375" style="695" customWidth="1"/>
    <col min="8971" max="8971" width="7.7109375" style="695" customWidth="1"/>
    <col min="8972" max="8972" width="8.28515625" style="695" customWidth="1"/>
    <col min="8973" max="8973" width="6.140625" style="695" customWidth="1"/>
    <col min="8974" max="8974" width="8.28515625" style="695" customWidth="1"/>
    <col min="8975" max="8975" width="8.7109375" style="695" customWidth="1"/>
    <col min="8976" max="8976" width="7.28515625" style="695" customWidth="1"/>
    <col min="8977" max="8977" width="8" style="695" customWidth="1"/>
    <col min="8978" max="8978" width="7.85546875" style="695" customWidth="1"/>
    <col min="8979" max="8979" width="8.7109375" style="695" customWidth="1"/>
    <col min="8980" max="8981" width="9" style="695" customWidth="1"/>
    <col min="8982" max="8982" width="7.7109375" style="695" customWidth="1"/>
    <col min="8983" max="8983" width="8.7109375" style="695" customWidth="1"/>
    <col min="8984" max="8984" width="9.42578125" style="695" customWidth="1"/>
    <col min="8985" max="8985" width="8.28515625" style="695" customWidth="1"/>
    <col min="8986" max="8986" width="7.42578125" style="695" customWidth="1"/>
    <col min="8987" max="8987" width="12.85546875" style="695" bestFit="1" customWidth="1"/>
    <col min="8988" max="9216" width="9.140625" style="695"/>
    <col min="9217" max="9217" width="5" style="695" customWidth="1"/>
    <col min="9218" max="9218" width="41.140625" style="695" customWidth="1"/>
    <col min="9219" max="9219" width="8.7109375" style="695" customWidth="1"/>
    <col min="9220" max="9220" width="11.7109375" style="695" customWidth="1"/>
    <col min="9221" max="9221" width="7.42578125" style="695" customWidth="1"/>
    <col min="9222" max="9222" width="8.5703125" style="695" customWidth="1"/>
    <col min="9223" max="9223" width="8.140625" style="695" customWidth="1"/>
    <col min="9224" max="9224" width="10.140625" style="695" customWidth="1"/>
    <col min="9225" max="9225" width="8.28515625" style="695" customWidth="1"/>
    <col min="9226" max="9226" width="8.7109375" style="695" customWidth="1"/>
    <col min="9227" max="9227" width="7.7109375" style="695" customWidth="1"/>
    <col min="9228" max="9228" width="8.28515625" style="695" customWidth="1"/>
    <col min="9229" max="9229" width="6.140625" style="695" customWidth="1"/>
    <col min="9230" max="9230" width="8.28515625" style="695" customWidth="1"/>
    <col min="9231" max="9231" width="8.7109375" style="695" customWidth="1"/>
    <col min="9232" max="9232" width="7.28515625" style="695" customWidth="1"/>
    <col min="9233" max="9233" width="8" style="695" customWidth="1"/>
    <col min="9234" max="9234" width="7.85546875" style="695" customWidth="1"/>
    <col min="9235" max="9235" width="8.7109375" style="695" customWidth="1"/>
    <col min="9236" max="9237" width="9" style="695" customWidth="1"/>
    <col min="9238" max="9238" width="7.7109375" style="695" customWidth="1"/>
    <col min="9239" max="9239" width="8.7109375" style="695" customWidth="1"/>
    <col min="9240" max="9240" width="9.42578125" style="695" customWidth="1"/>
    <col min="9241" max="9241" width="8.28515625" style="695" customWidth="1"/>
    <col min="9242" max="9242" width="7.42578125" style="695" customWidth="1"/>
    <col min="9243" max="9243" width="12.85546875" style="695" bestFit="1" customWidth="1"/>
    <col min="9244" max="9472" width="9.140625" style="695"/>
    <col min="9473" max="9473" width="5" style="695" customWidth="1"/>
    <col min="9474" max="9474" width="41.140625" style="695" customWidth="1"/>
    <col min="9475" max="9475" width="8.7109375" style="695" customWidth="1"/>
    <col min="9476" max="9476" width="11.7109375" style="695" customWidth="1"/>
    <col min="9477" max="9477" width="7.42578125" style="695" customWidth="1"/>
    <col min="9478" max="9478" width="8.5703125" style="695" customWidth="1"/>
    <col min="9479" max="9479" width="8.140625" style="695" customWidth="1"/>
    <col min="9480" max="9480" width="10.140625" style="695" customWidth="1"/>
    <col min="9481" max="9481" width="8.28515625" style="695" customWidth="1"/>
    <col min="9482" max="9482" width="8.7109375" style="695" customWidth="1"/>
    <col min="9483" max="9483" width="7.7109375" style="695" customWidth="1"/>
    <col min="9484" max="9484" width="8.28515625" style="695" customWidth="1"/>
    <col min="9485" max="9485" width="6.140625" style="695" customWidth="1"/>
    <col min="9486" max="9486" width="8.28515625" style="695" customWidth="1"/>
    <col min="9487" max="9487" width="8.7109375" style="695" customWidth="1"/>
    <col min="9488" max="9488" width="7.28515625" style="695" customWidth="1"/>
    <col min="9489" max="9489" width="8" style="695" customWidth="1"/>
    <col min="9490" max="9490" width="7.85546875" style="695" customWidth="1"/>
    <col min="9491" max="9491" width="8.7109375" style="695" customWidth="1"/>
    <col min="9492" max="9493" width="9" style="695" customWidth="1"/>
    <col min="9494" max="9494" width="7.7109375" style="695" customWidth="1"/>
    <col min="9495" max="9495" width="8.7109375" style="695" customWidth="1"/>
    <col min="9496" max="9496" width="9.42578125" style="695" customWidth="1"/>
    <col min="9497" max="9497" width="8.28515625" style="695" customWidth="1"/>
    <col min="9498" max="9498" width="7.42578125" style="695" customWidth="1"/>
    <col min="9499" max="9499" width="12.85546875" style="695" bestFit="1" customWidth="1"/>
    <col min="9500" max="9728" width="9.140625" style="695"/>
    <col min="9729" max="9729" width="5" style="695" customWidth="1"/>
    <col min="9730" max="9730" width="41.140625" style="695" customWidth="1"/>
    <col min="9731" max="9731" width="8.7109375" style="695" customWidth="1"/>
    <col min="9732" max="9732" width="11.7109375" style="695" customWidth="1"/>
    <col min="9733" max="9733" width="7.42578125" style="695" customWidth="1"/>
    <col min="9734" max="9734" width="8.5703125" style="695" customWidth="1"/>
    <col min="9735" max="9735" width="8.140625" style="695" customWidth="1"/>
    <col min="9736" max="9736" width="10.140625" style="695" customWidth="1"/>
    <col min="9737" max="9737" width="8.28515625" style="695" customWidth="1"/>
    <col min="9738" max="9738" width="8.7109375" style="695" customWidth="1"/>
    <col min="9739" max="9739" width="7.7109375" style="695" customWidth="1"/>
    <col min="9740" max="9740" width="8.28515625" style="695" customWidth="1"/>
    <col min="9741" max="9741" width="6.140625" style="695" customWidth="1"/>
    <col min="9742" max="9742" width="8.28515625" style="695" customWidth="1"/>
    <col min="9743" max="9743" width="8.7109375" style="695" customWidth="1"/>
    <col min="9744" max="9744" width="7.28515625" style="695" customWidth="1"/>
    <col min="9745" max="9745" width="8" style="695" customWidth="1"/>
    <col min="9746" max="9746" width="7.85546875" style="695" customWidth="1"/>
    <col min="9747" max="9747" width="8.7109375" style="695" customWidth="1"/>
    <col min="9748" max="9749" width="9" style="695" customWidth="1"/>
    <col min="9750" max="9750" width="7.7109375" style="695" customWidth="1"/>
    <col min="9751" max="9751" width="8.7109375" style="695" customWidth="1"/>
    <col min="9752" max="9752" width="9.42578125" style="695" customWidth="1"/>
    <col min="9753" max="9753" width="8.28515625" style="695" customWidth="1"/>
    <col min="9754" max="9754" width="7.42578125" style="695" customWidth="1"/>
    <col min="9755" max="9755" width="12.85546875" style="695" bestFit="1" customWidth="1"/>
    <col min="9756" max="9984" width="9.140625" style="695"/>
    <col min="9985" max="9985" width="5" style="695" customWidth="1"/>
    <col min="9986" max="9986" width="41.140625" style="695" customWidth="1"/>
    <col min="9987" max="9987" width="8.7109375" style="695" customWidth="1"/>
    <col min="9988" max="9988" width="11.7109375" style="695" customWidth="1"/>
    <col min="9989" max="9989" width="7.42578125" style="695" customWidth="1"/>
    <col min="9990" max="9990" width="8.5703125" style="695" customWidth="1"/>
    <col min="9991" max="9991" width="8.140625" style="695" customWidth="1"/>
    <col min="9992" max="9992" width="10.140625" style="695" customWidth="1"/>
    <col min="9993" max="9993" width="8.28515625" style="695" customWidth="1"/>
    <col min="9994" max="9994" width="8.7109375" style="695" customWidth="1"/>
    <col min="9995" max="9995" width="7.7109375" style="695" customWidth="1"/>
    <col min="9996" max="9996" width="8.28515625" style="695" customWidth="1"/>
    <col min="9997" max="9997" width="6.140625" style="695" customWidth="1"/>
    <col min="9998" max="9998" width="8.28515625" style="695" customWidth="1"/>
    <col min="9999" max="9999" width="8.7109375" style="695" customWidth="1"/>
    <col min="10000" max="10000" width="7.28515625" style="695" customWidth="1"/>
    <col min="10001" max="10001" width="8" style="695" customWidth="1"/>
    <col min="10002" max="10002" width="7.85546875" style="695" customWidth="1"/>
    <col min="10003" max="10003" width="8.7109375" style="695" customWidth="1"/>
    <col min="10004" max="10005" width="9" style="695" customWidth="1"/>
    <col min="10006" max="10006" width="7.7109375" style="695" customWidth="1"/>
    <col min="10007" max="10007" width="8.7109375" style="695" customWidth="1"/>
    <col min="10008" max="10008" width="9.42578125" style="695" customWidth="1"/>
    <col min="10009" max="10009" width="8.28515625" style="695" customWidth="1"/>
    <col min="10010" max="10010" width="7.42578125" style="695" customWidth="1"/>
    <col min="10011" max="10011" width="12.85546875" style="695" bestFit="1" customWidth="1"/>
    <col min="10012" max="10240" width="9.140625" style="695"/>
    <col min="10241" max="10241" width="5" style="695" customWidth="1"/>
    <col min="10242" max="10242" width="41.140625" style="695" customWidth="1"/>
    <col min="10243" max="10243" width="8.7109375" style="695" customWidth="1"/>
    <col min="10244" max="10244" width="11.7109375" style="695" customWidth="1"/>
    <col min="10245" max="10245" width="7.42578125" style="695" customWidth="1"/>
    <col min="10246" max="10246" width="8.5703125" style="695" customWidth="1"/>
    <col min="10247" max="10247" width="8.140625" style="695" customWidth="1"/>
    <col min="10248" max="10248" width="10.140625" style="695" customWidth="1"/>
    <col min="10249" max="10249" width="8.28515625" style="695" customWidth="1"/>
    <col min="10250" max="10250" width="8.7109375" style="695" customWidth="1"/>
    <col min="10251" max="10251" width="7.7109375" style="695" customWidth="1"/>
    <col min="10252" max="10252" width="8.28515625" style="695" customWidth="1"/>
    <col min="10253" max="10253" width="6.140625" style="695" customWidth="1"/>
    <col min="10254" max="10254" width="8.28515625" style="695" customWidth="1"/>
    <col min="10255" max="10255" width="8.7109375" style="695" customWidth="1"/>
    <col min="10256" max="10256" width="7.28515625" style="695" customWidth="1"/>
    <col min="10257" max="10257" width="8" style="695" customWidth="1"/>
    <col min="10258" max="10258" width="7.85546875" style="695" customWidth="1"/>
    <col min="10259" max="10259" width="8.7109375" style="695" customWidth="1"/>
    <col min="10260" max="10261" width="9" style="695" customWidth="1"/>
    <col min="10262" max="10262" width="7.7109375" style="695" customWidth="1"/>
    <col min="10263" max="10263" width="8.7109375" style="695" customWidth="1"/>
    <col min="10264" max="10264" width="9.42578125" style="695" customWidth="1"/>
    <col min="10265" max="10265" width="8.28515625" style="695" customWidth="1"/>
    <col min="10266" max="10266" width="7.42578125" style="695" customWidth="1"/>
    <col min="10267" max="10267" width="12.85546875" style="695" bestFit="1" customWidth="1"/>
    <col min="10268" max="10496" width="9.140625" style="695"/>
    <col min="10497" max="10497" width="5" style="695" customWidth="1"/>
    <col min="10498" max="10498" width="41.140625" style="695" customWidth="1"/>
    <col min="10499" max="10499" width="8.7109375" style="695" customWidth="1"/>
    <col min="10500" max="10500" width="11.7109375" style="695" customWidth="1"/>
    <col min="10501" max="10501" width="7.42578125" style="695" customWidth="1"/>
    <col min="10502" max="10502" width="8.5703125" style="695" customWidth="1"/>
    <col min="10503" max="10503" width="8.140625" style="695" customWidth="1"/>
    <col min="10504" max="10504" width="10.140625" style="695" customWidth="1"/>
    <col min="10505" max="10505" width="8.28515625" style="695" customWidth="1"/>
    <col min="10506" max="10506" width="8.7109375" style="695" customWidth="1"/>
    <col min="10507" max="10507" width="7.7109375" style="695" customWidth="1"/>
    <col min="10508" max="10508" width="8.28515625" style="695" customWidth="1"/>
    <col min="10509" max="10509" width="6.140625" style="695" customWidth="1"/>
    <col min="10510" max="10510" width="8.28515625" style="695" customWidth="1"/>
    <col min="10511" max="10511" width="8.7109375" style="695" customWidth="1"/>
    <col min="10512" max="10512" width="7.28515625" style="695" customWidth="1"/>
    <col min="10513" max="10513" width="8" style="695" customWidth="1"/>
    <col min="10514" max="10514" width="7.85546875" style="695" customWidth="1"/>
    <col min="10515" max="10515" width="8.7109375" style="695" customWidth="1"/>
    <col min="10516" max="10517" width="9" style="695" customWidth="1"/>
    <col min="10518" max="10518" width="7.7109375" style="695" customWidth="1"/>
    <col min="10519" max="10519" width="8.7109375" style="695" customWidth="1"/>
    <col min="10520" max="10520" width="9.42578125" style="695" customWidth="1"/>
    <col min="10521" max="10521" width="8.28515625" style="695" customWidth="1"/>
    <col min="10522" max="10522" width="7.42578125" style="695" customWidth="1"/>
    <col min="10523" max="10523" width="12.85546875" style="695" bestFit="1" customWidth="1"/>
    <col min="10524" max="10752" width="9.140625" style="695"/>
    <col min="10753" max="10753" width="5" style="695" customWidth="1"/>
    <col min="10754" max="10754" width="41.140625" style="695" customWidth="1"/>
    <col min="10755" max="10755" width="8.7109375" style="695" customWidth="1"/>
    <col min="10756" max="10756" width="11.7109375" style="695" customWidth="1"/>
    <col min="10757" max="10757" width="7.42578125" style="695" customWidth="1"/>
    <col min="10758" max="10758" width="8.5703125" style="695" customWidth="1"/>
    <col min="10759" max="10759" width="8.140625" style="695" customWidth="1"/>
    <col min="10760" max="10760" width="10.140625" style="695" customWidth="1"/>
    <col min="10761" max="10761" width="8.28515625" style="695" customWidth="1"/>
    <col min="10762" max="10762" width="8.7109375" style="695" customWidth="1"/>
    <col min="10763" max="10763" width="7.7109375" style="695" customWidth="1"/>
    <col min="10764" max="10764" width="8.28515625" style="695" customWidth="1"/>
    <col min="10765" max="10765" width="6.140625" style="695" customWidth="1"/>
    <col min="10766" max="10766" width="8.28515625" style="695" customWidth="1"/>
    <col min="10767" max="10767" width="8.7109375" style="695" customWidth="1"/>
    <col min="10768" max="10768" width="7.28515625" style="695" customWidth="1"/>
    <col min="10769" max="10769" width="8" style="695" customWidth="1"/>
    <col min="10770" max="10770" width="7.85546875" style="695" customWidth="1"/>
    <col min="10771" max="10771" width="8.7109375" style="695" customWidth="1"/>
    <col min="10772" max="10773" width="9" style="695" customWidth="1"/>
    <col min="10774" max="10774" width="7.7109375" style="695" customWidth="1"/>
    <col min="10775" max="10775" width="8.7109375" style="695" customWidth="1"/>
    <col min="10776" max="10776" width="9.42578125" style="695" customWidth="1"/>
    <col min="10777" max="10777" width="8.28515625" style="695" customWidth="1"/>
    <col min="10778" max="10778" width="7.42578125" style="695" customWidth="1"/>
    <col min="10779" max="10779" width="12.85546875" style="695" bestFit="1" customWidth="1"/>
    <col min="10780" max="11008" width="9.140625" style="695"/>
    <col min="11009" max="11009" width="5" style="695" customWidth="1"/>
    <col min="11010" max="11010" width="41.140625" style="695" customWidth="1"/>
    <col min="11011" max="11011" width="8.7109375" style="695" customWidth="1"/>
    <col min="11012" max="11012" width="11.7109375" style="695" customWidth="1"/>
    <col min="11013" max="11013" width="7.42578125" style="695" customWidth="1"/>
    <col min="11014" max="11014" width="8.5703125" style="695" customWidth="1"/>
    <col min="11015" max="11015" width="8.140625" style="695" customWidth="1"/>
    <col min="11016" max="11016" width="10.140625" style="695" customWidth="1"/>
    <col min="11017" max="11017" width="8.28515625" style="695" customWidth="1"/>
    <col min="11018" max="11018" width="8.7109375" style="695" customWidth="1"/>
    <col min="11019" max="11019" width="7.7109375" style="695" customWidth="1"/>
    <col min="11020" max="11020" width="8.28515625" style="695" customWidth="1"/>
    <col min="11021" max="11021" width="6.140625" style="695" customWidth="1"/>
    <col min="11022" max="11022" width="8.28515625" style="695" customWidth="1"/>
    <col min="11023" max="11023" width="8.7109375" style="695" customWidth="1"/>
    <col min="11024" max="11024" width="7.28515625" style="695" customWidth="1"/>
    <col min="11025" max="11025" width="8" style="695" customWidth="1"/>
    <col min="11026" max="11026" width="7.85546875" style="695" customWidth="1"/>
    <col min="11027" max="11027" width="8.7109375" style="695" customWidth="1"/>
    <col min="11028" max="11029" width="9" style="695" customWidth="1"/>
    <col min="11030" max="11030" width="7.7109375" style="695" customWidth="1"/>
    <col min="11031" max="11031" width="8.7109375" style="695" customWidth="1"/>
    <col min="11032" max="11032" width="9.42578125" style="695" customWidth="1"/>
    <col min="11033" max="11033" width="8.28515625" style="695" customWidth="1"/>
    <col min="11034" max="11034" width="7.42578125" style="695" customWidth="1"/>
    <col min="11035" max="11035" width="12.85546875" style="695" bestFit="1" customWidth="1"/>
    <col min="11036" max="11264" width="9.140625" style="695"/>
    <col min="11265" max="11265" width="5" style="695" customWidth="1"/>
    <col min="11266" max="11266" width="41.140625" style="695" customWidth="1"/>
    <col min="11267" max="11267" width="8.7109375" style="695" customWidth="1"/>
    <col min="11268" max="11268" width="11.7109375" style="695" customWidth="1"/>
    <col min="11269" max="11269" width="7.42578125" style="695" customWidth="1"/>
    <col min="11270" max="11270" width="8.5703125" style="695" customWidth="1"/>
    <col min="11271" max="11271" width="8.140625" style="695" customWidth="1"/>
    <col min="11272" max="11272" width="10.140625" style="695" customWidth="1"/>
    <col min="11273" max="11273" width="8.28515625" style="695" customWidth="1"/>
    <col min="11274" max="11274" width="8.7109375" style="695" customWidth="1"/>
    <col min="11275" max="11275" width="7.7109375" style="695" customWidth="1"/>
    <col min="11276" max="11276" width="8.28515625" style="695" customWidth="1"/>
    <col min="11277" max="11277" width="6.140625" style="695" customWidth="1"/>
    <col min="11278" max="11278" width="8.28515625" style="695" customWidth="1"/>
    <col min="11279" max="11279" width="8.7109375" style="695" customWidth="1"/>
    <col min="11280" max="11280" width="7.28515625" style="695" customWidth="1"/>
    <col min="11281" max="11281" width="8" style="695" customWidth="1"/>
    <col min="11282" max="11282" width="7.85546875" style="695" customWidth="1"/>
    <col min="11283" max="11283" width="8.7109375" style="695" customWidth="1"/>
    <col min="11284" max="11285" width="9" style="695" customWidth="1"/>
    <col min="11286" max="11286" width="7.7109375" style="695" customWidth="1"/>
    <col min="11287" max="11287" width="8.7109375" style="695" customWidth="1"/>
    <col min="11288" max="11288" width="9.42578125" style="695" customWidth="1"/>
    <col min="11289" max="11289" width="8.28515625" style="695" customWidth="1"/>
    <col min="11290" max="11290" width="7.42578125" style="695" customWidth="1"/>
    <col min="11291" max="11291" width="12.85546875" style="695" bestFit="1" customWidth="1"/>
    <col min="11292" max="11520" width="9.140625" style="695"/>
    <col min="11521" max="11521" width="5" style="695" customWidth="1"/>
    <col min="11522" max="11522" width="41.140625" style="695" customWidth="1"/>
    <col min="11523" max="11523" width="8.7109375" style="695" customWidth="1"/>
    <col min="11524" max="11524" width="11.7109375" style="695" customWidth="1"/>
    <col min="11525" max="11525" width="7.42578125" style="695" customWidth="1"/>
    <col min="11526" max="11526" width="8.5703125" style="695" customWidth="1"/>
    <col min="11527" max="11527" width="8.140625" style="695" customWidth="1"/>
    <col min="11528" max="11528" width="10.140625" style="695" customWidth="1"/>
    <col min="11529" max="11529" width="8.28515625" style="695" customWidth="1"/>
    <col min="11530" max="11530" width="8.7109375" style="695" customWidth="1"/>
    <col min="11531" max="11531" width="7.7109375" style="695" customWidth="1"/>
    <col min="11532" max="11532" width="8.28515625" style="695" customWidth="1"/>
    <col min="11533" max="11533" width="6.140625" style="695" customWidth="1"/>
    <col min="11534" max="11534" width="8.28515625" style="695" customWidth="1"/>
    <col min="11535" max="11535" width="8.7109375" style="695" customWidth="1"/>
    <col min="11536" max="11536" width="7.28515625" style="695" customWidth="1"/>
    <col min="11537" max="11537" width="8" style="695" customWidth="1"/>
    <col min="11538" max="11538" width="7.85546875" style="695" customWidth="1"/>
    <col min="11539" max="11539" width="8.7109375" style="695" customWidth="1"/>
    <col min="11540" max="11541" width="9" style="695" customWidth="1"/>
    <col min="11542" max="11542" width="7.7109375" style="695" customWidth="1"/>
    <col min="11543" max="11543" width="8.7109375" style="695" customWidth="1"/>
    <col min="11544" max="11544" width="9.42578125" style="695" customWidth="1"/>
    <col min="11545" max="11545" width="8.28515625" style="695" customWidth="1"/>
    <col min="11546" max="11546" width="7.42578125" style="695" customWidth="1"/>
    <col min="11547" max="11547" width="12.85546875" style="695" bestFit="1" customWidth="1"/>
    <col min="11548" max="11776" width="9.140625" style="695"/>
    <col min="11777" max="11777" width="5" style="695" customWidth="1"/>
    <col min="11778" max="11778" width="41.140625" style="695" customWidth="1"/>
    <col min="11779" max="11779" width="8.7109375" style="695" customWidth="1"/>
    <col min="11780" max="11780" width="11.7109375" style="695" customWidth="1"/>
    <col min="11781" max="11781" width="7.42578125" style="695" customWidth="1"/>
    <col min="11782" max="11782" width="8.5703125" style="695" customWidth="1"/>
    <col min="11783" max="11783" width="8.140625" style="695" customWidth="1"/>
    <col min="11784" max="11784" width="10.140625" style="695" customWidth="1"/>
    <col min="11785" max="11785" width="8.28515625" style="695" customWidth="1"/>
    <col min="11786" max="11786" width="8.7109375" style="695" customWidth="1"/>
    <col min="11787" max="11787" width="7.7109375" style="695" customWidth="1"/>
    <col min="11788" max="11788" width="8.28515625" style="695" customWidth="1"/>
    <col min="11789" max="11789" width="6.140625" style="695" customWidth="1"/>
    <col min="11790" max="11790" width="8.28515625" style="695" customWidth="1"/>
    <col min="11791" max="11791" width="8.7109375" style="695" customWidth="1"/>
    <col min="11792" max="11792" width="7.28515625" style="695" customWidth="1"/>
    <col min="11793" max="11793" width="8" style="695" customWidth="1"/>
    <col min="11794" max="11794" width="7.85546875" style="695" customWidth="1"/>
    <col min="11795" max="11795" width="8.7109375" style="695" customWidth="1"/>
    <col min="11796" max="11797" width="9" style="695" customWidth="1"/>
    <col min="11798" max="11798" width="7.7109375" style="695" customWidth="1"/>
    <col min="11799" max="11799" width="8.7109375" style="695" customWidth="1"/>
    <col min="11800" max="11800" width="9.42578125" style="695" customWidth="1"/>
    <col min="11801" max="11801" width="8.28515625" style="695" customWidth="1"/>
    <col min="11802" max="11802" width="7.42578125" style="695" customWidth="1"/>
    <col min="11803" max="11803" width="12.85546875" style="695" bestFit="1" customWidth="1"/>
    <col min="11804" max="12032" width="9.140625" style="695"/>
    <col min="12033" max="12033" width="5" style="695" customWidth="1"/>
    <col min="12034" max="12034" width="41.140625" style="695" customWidth="1"/>
    <col min="12035" max="12035" width="8.7109375" style="695" customWidth="1"/>
    <col min="12036" max="12036" width="11.7109375" style="695" customWidth="1"/>
    <col min="12037" max="12037" width="7.42578125" style="695" customWidth="1"/>
    <col min="12038" max="12038" width="8.5703125" style="695" customWidth="1"/>
    <col min="12039" max="12039" width="8.140625" style="695" customWidth="1"/>
    <col min="12040" max="12040" width="10.140625" style="695" customWidth="1"/>
    <col min="12041" max="12041" width="8.28515625" style="695" customWidth="1"/>
    <col min="12042" max="12042" width="8.7109375" style="695" customWidth="1"/>
    <col min="12043" max="12043" width="7.7109375" style="695" customWidth="1"/>
    <col min="12044" max="12044" width="8.28515625" style="695" customWidth="1"/>
    <col min="12045" max="12045" width="6.140625" style="695" customWidth="1"/>
    <col min="12046" max="12046" width="8.28515625" style="695" customWidth="1"/>
    <col min="12047" max="12047" width="8.7109375" style="695" customWidth="1"/>
    <col min="12048" max="12048" width="7.28515625" style="695" customWidth="1"/>
    <col min="12049" max="12049" width="8" style="695" customWidth="1"/>
    <col min="12050" max="12050" width="7.85546875" style="695" customWidth="1"/>
    <col min="12051" max="12051" width="8.7109375" style="695" customWidth="1"/>
    <col min="12052" max="12053" width="9" style="695" customWidth="1"/>
    <col min="12054" max="12054" width="7.7109375" style="695" customWidth="1"/>
    <col min="12055" max="12055" width="8.7109375" style="695" customWidth="1"/>
    <col min="12056" max="12056" width="9.42578125" style="695" customWidth="1"/>
    <col min="12057" max="12057" width="8.28515625" style="695" customWidth="1"/>
    <col min="12058" max="12058" width="7.42578125" style="695" customWidth="1"/>
    <col min="12059" max="12059" width="12.85546875" style="695" bestFit="1" customWidth="1"/>
    <col min="12060" max="12288" width="9.140625" style="695"/>
    <col min="12289" max="12289" width="5" style="695" customWidth="1"/>
    <col min="12290" max="12290" width="41.140625" style="695" customWidth="1"/>
    <col min="12291" max="12291" width="8.7109375" style="695" customWidth="1"/>
    <col min="12292" max="12292" width="11.7109375" style="695" customWidth="1"/>
    <col min="12293" max="12293" width="7.42578125" style="695" customWidth="1"/>
    <col min="12294" max="12294" width="8.5703125" style="695" customWidth="1"/>
    <col min="12295" max="12295" width="8.140625" style="695" customWidth="1"/>
    <col min="12296" max="12296" width="10.140625" style="695" customWidth="1"/>
    <col min="12297" max="12297" width="8.28515625" style="695" customWidth="1"/>
    <col min="12298" max="12298" width="8.7109375" style="695" customWidth="1"/>
    <col min="12299" max="12299" width="7.7109375" style="695" customWidth="1"/>
    <col min="12300" max="12300" width="8.28515625" style="695" customWidth="1"/>
    <col min="12301" max="12301" width="6.140625" style="695" customWidth="1"/>
    <col min="12302" max="12302" width="8.28515625" style="695" customWidth="1"/>
    <col min="12303" max="12303" width="8.7109375" style="695" customWidth="1"/>
    <col min="12304" max="12304" width="7.28515625" style="695" customWidth="1"/>
    <col min="12305" max="12305" width="8" style="695" customWidth="1"/>
    <col min="12306" max="12306" width="7.85546875" style="695" customWidth="1"/>
    <col min="12307" max="12307" width="8.7109375" style="695" customWidth="1"/>
    <col min="12308" max="12309" width="9" style="695" customWidth="1"/>
    <col min="12310" max="12310" width="7.7109375" style="695" customWidth="1"/>
    <col min="12311" max="12311" width="8.7109375" style="695" customWidth="1"/>
    <col min="12312" max="12312" width="9.42578125" style="695" customWidth="1"/>
    <col min="12313" max="12313" width="8.28515625" style="695" customWidth="1"/>
    <col min="12314" max="12314" width="7.42578125" style="695" customWidth="1"/>
    <col min="12315" max="12315" width="12.85546875" style="695" bestFit="1" customWidth="1"/>
    <col min="12316" max="12544" width="9.140625" style="695"/>
    <col min="12545" max="12545" width="5" style="695" customWidth="1"/>
    <col min="12546" max="12546" width="41.140625" style="695" customWidth="1"/>
    <col min="12547" max="12547" width="8.7109375" style="695" customWidth="1"/>
    <col min="12548" max="12548" width="11.7109375" style="695" customWidth="1"/>
    <col min="12549" max="12549" width="7.42578125" style="695" customWidth="1"/>
    <col min="12550" max="12550" width="8.5703125" style="695" customWidth="1"/>
    <col min="12551" max="12551" width="8.140625" style="695" customWidth="1"/>
    <col min="12552" max="12552" width="10.140625" style="695" customWidth="1"/>
    <col min="12553" max="12553" width="8.28515625" style="695" customWidth="1"/>
    <col min="12554" max="12554" width="8.7109375" style="695" customWidth="1"/>
    <col min="12555" max="12555" width="7.7109375" style="695" customWidth="1"/>
    <col min="12556" max="12556" width="8.28515625" style="695" customWidth="1"/>
    <col min="12557" max="12557" width="6.140625" style="695" customWidth="1"/>
    <col min="12558" max="12558" width="8.28515625" style="695" customWidth="1"/>
    <col min="12559" max="12559" width="8.7109375" style="695" customWidth="1"/>
    <col min="12560" max="12560" width="7.28515625" style="695" customWidth="1"/>
    <col min="12561" max="12561" width="8" style="695" customWidth="1"/>
    <col min="12562" max="12562" width="7.85546875" style="695" customWidth="1"/>
    <col min="12563" max="12563" width="8.7109375" style="695" customWidth="1"/>
    <col min="12564" max="12565" width="9" style="695" customWidth="1"/>
    <col min="12566" max="12566" width="7.7109375" style="695" customWidth="1"/>
    <col min="12567" max="12567" width="8.7109375" style="695" customWidth="1"/>
    <col min="12568" max="12568" width="9.42578125" style="695" customWidth="1"/>
    <col min="12569" max="12569" width="8.28515625" style="695" customWidth="1"/>
    <col min="12570" max="12570" width="7.42578125" style="695" customWidth="1"/>
    <col min="12571" max="12571" width="12.85546875" style="695" bestFit="1" customWidth="1"/>
    <col min="12572" max="12800" width="9.140625" style="695"/>
    <col min="12801" max="12801" width="5" style="695" customWidth="1"/>
    <col min="12802" max="12802" width="41.140625" style="695" customWidth="1"/>
    <col min="12803" max="12803" width="8.7109375" style="695" customWidth="1"/>
    <col min="12804" max="12804" width="11.7109375" style="695" customWidth="1"/>
    <col min="12805" max="12805" width="7.42578125" style="695" customWidth="1"/>
    <col min="12806" max="12806" width="8.5703125" style="695" customWidth="1"/>
    <col min="12807" max="12807" width="8.140625" style="695" customWidth="1"/>
    <col min="12808" max="12808" width="10.140625" style="695" customWidth="1"/>
    <col min="12809" max="12809" width="8.28515625" style="695" customWidth="1"/>
    <col min="12810" max="12810" width="8.7109375" style="695" customWidth="1"/>
    <col min="12811" max="12811" width="7.7109375" style="695" customWidth="1"/>
    <col min="12812" max="12812" width="8.28515625" style="695" customWidth="1"/>
    <col min="12813" max="12813" width="6.140625" style="695" customWidth="1"/>
    <col min="12814" max="12814" width="8.28515625" style="695" customWidth="1"/>
    <col min="12815" max="12815" width="8.7109375" style="695" customWidth="1"/>
    <col min="12816" max="12816" width="7.28515625" style="695" customWidth="1"/>
    <col min="12817" max="12817" width="8" style="695" customWidth="1"/>
    <col min="12818" max="12818" width="7.85546875" style="695" customWidth="1"/>
    <col min="12819" max="12819" width="8.7109375" style="695" customWidth="1"/>
    <col min="12820" max="12821" width="9" style="695" customWidth="1"/>
    <col min="12822" max="12822" width="7.7109375" style="695" customWidth="1"/>
    <col min="12823" max="12823" width="8.7109375" style="695" customWidth="1"/>
    <col min="12824" max="12824" width="9.42578125" style="695" customWidth="1"/>
    <col min="12825" max="12825" width="8.28515625" style="695" customWidth="1"/>
    <col min="12826" max="12826" width="7.42578125" style="695" customWidth="1"/>
    <col min="12827" max="12827" width="12.85546875" style="695" bestFit="1" customWidth="1"/>
    <col min="12828" max="13056" width="9.140625" style="695"/>
    <col min="13057" max="13057" width="5" style="695" customWidth="1"/>
    <col min="13058" max="13058" width="41.140625" style="695" customWidth="1"/>
    <col min="13059" max="13059" width="8.7109375" style="695" customWidth="1"/>
    <col min="13060" max="13060" width="11.7109375" style="695" customWidth="1"/>
    <col min="13061" max="13061" width="7.42578125" style="695" customWidth="1"/>
    <col min="13062" max="13062" width="8.5703125" style="695" customWidth="1"/>
    <col min="13063" max="13063" width="8.140625" style="695" customWidth="1"/>
    <col min="13064" max="13064" width="10.140625" style="695" customWidth="1"/>
    <col min="13065" max="13065" width="8.28515625" style="695" customWidth="1"/>
    <col min="13066" max="13066" width="8.7109375" style="695" customWidth="1"/>
    <col min="13067" max="13067" width="7.7109375" style="695" customWidth="1"/>
    <col min="13068" max="13068" width="8.28515625" style="695" customWidth="1"/>
    <col min="13069" max="13069" width="6.140625" style="695" customWidth="1"/>
    <col min="13070" max="13070" width="8.28515625" style="695" customWidth="1"/>
    <col min="13071" max="13071" width="8.7109375" style="695" customWidth="1"/>
    <col min="13072" max="13072" width="7.28515625" style="695" customWidth="1"/>
    <col min="13073" max="13073" width="8" style="695" customWidth="1"/>
    <col min="13074" max="13074" width="7.85546875" style="695" customWidth="1"/>
    <col min="13075" max="13075" width="8.7109375" style="695" customWidth="1"/>
    <col min="13076" max="13077" width="9" style="695" customWidth="1"/>
    <col min="13078" max="13078" width="7.7109375" style="695" customWidth="1"/>
    <col min="13079" max="13079" width="8.7109375" style="695" customWidth="1"/>
    <col min="13080" max="13080" width="9.42578125" style="695" customWidth="1"/>
    <col min="13081" max="13081" width="8.28515625" style="695" customWidth="1"/>
    <col min="13082" max="13082" width="7.42578125" style="695" customWidth="1"/>
    <col min="13083" max="13083" width="12.85546875" style="695" bestFit="1" customWidth="1"/>
    <col min="13084" max="13312" width="9.140625" style="695"/>
    <col min="13313" max="13313" width="5" style="695" customWidth="1"/>
    <col min="13314" max="13314" width="41.140625" style="695" customWidth="1"/>
    <col min="13315" max="13315" width="8.7109375" style="695" customWidth="1"/>
    <col min="13316" max="13316" width="11.7109375" style="695" customWidth="1"/>
    <col min="13317" max="13317" width="7.42578125" style="695" customWidth="1"/>
    <col min="13318" max="13318" width="8.5703125" style="695" customWidth="1"/>
    <col min="13319" max="13319" width="8.140625" style="695" customWidth="1"/>
    <col min="13320" max="13320" width="10.140625" style="695" customWidth="1"/>
    <col min="13321" max="13321" width="8.28515625" style="695" customWidth="1"/>
    <col min="13322" max="13322" width="8.7109375" style="695" customWidth="1"/>
    <col min="13323" max="13323" width="7.7109375" style="695" customWidth="1"/>
    <col min="13324" max="13324" width="8.28515625" style="695" customWidth="1"/>
    <col min="13325" max="13325" width="6.140625" style="695" customWidth="1"/>
    <col min="13326" max="13326" width="8.28515625" style="695" customWidth="1"/>
    <col min="13327" max="13327" width="8.7109375" style="695" customWidth="1"/>
    <col min="13328" max="13328" width="7.28515625" style="695" customWidth="1"/>
    <col min="13329" max="13329" width="8" style="695" customWidth="1"/>
    <col min="13330" max="13330" width="7.85546875" style="695" customWidth="1"/>
    <col min="13331" max="13331" width="8.7109375" style="695" customWidth="1"/>
    <col min="13332" max="13333" width="9" style="695" customWidth="1"/>
    <col min="13334" max="13334" width="7.7109375" style="695" customWidth="1"/>
    <col min="13335" max="13335" width="8.7109375" style="695" customWidth="1"/>
    <col min="13336" max="13336" width="9.42578125" style="695" customWidth="1"/>
    <col min="13337" max="13337" width="8.28515625" style="695" customWidth="1"/>
    <col min="13338" max="13338" width="7.42578125" style="695" customWidth="1"/>
    <col min="13339" max="13339" width="12.85546875" style="695" bestFit="1" customWidth="1"/>
    <col min="13340" max="13568" width="9.140625" style="695"/>
    <col min="13569" max="13569" width="5" style="695" customWidth="1"/>
    <col min="13570" max="13570" width="41.140625" style="695" customWidth="1"/>
    <col min="13571" max="13571" width="8.7109375" style="695" customWidth="1"/>
    <col min="13572" max="13572" width="11.7109375" style="695" customWidth="1"/>
    <col min="13573" max="13573" width="7.42578125" style="695" customWidth="1"/>
    <col min="13574" max="13574" width="8.5703125" style="695" customWidth="1"/>
    <col min="13575" max="13575" width="8.140625" style="695" customWidth="1"/>
    <col min="13576" max="13576" width="10.140625" style="695" customWidth="1"/>
    <col min="13577" max="13577" width="8.28515625" style="695" customWidth="1"/>
    <col min="13578" max="13578" width="8.7109375" style="695" customWidth="1"/>
    <col min="13579" max="13579" width="7.7109375" style="695" customWidth="1"/>
    <col min="13580" max="13580" width="8.28515625" style="695" customWidth="1"/>
    <col min="13581" max="13581" width="6.140625" style="695" customWidth="1"/>
    <col min="13582" max="13582" width="8.28515625" style="695" customWidth="1"/>
    <col min="13583" max="13583" width="8.7109375" style="695" customWidth="1"/>
    <col min="13584" max="13584" width="7.28515625" style="695" customWidth="1"/>
    <col min="13585" max="13585" width="8" style="695" customWidth="1"/>
    <col min="13586" max="13586" width="7.85546875" style="695" customWidth="1"/>
    <col min="13587" max="13587" width="8.7109375" style="695" customWidth="1"/>
    <col min="13588" max="13589" width="9" style="695" customWidth="1"/>
    <col min="13590" max="13590" width="7.7109375" style="695" customWidth="1"/>
    <col min="13591" max="13591" width="8.7109375" style="695" customWidth="1"/>
    <col min="13592" max="13592" width="9.42578125" style="695" customWidth="1"/>
    <col min="13593" max="13593" width="8.28515625" style="695" customWidth="1"/>
    <col min="13594" max="13594" width="7.42578125" style="695" customWidth="1"/>
    <col min="13595" max="13595" width="12.85546875" style="695" bestFit="1" customWidth="1"/>
    <col min="13596" max="13824" width="9.140625" style="695"/>
    <col min="13825" max="13825" width="5" style="695" customWidth="1"/>
    <col min="13826" max="13826" width="41.140625" style="695" customWidth="1"/>
    <col min="13827" max="13827" width="8.7109375" style="695" customWidth="1"/>
    <col min="13828" max="13828" width="11.7109375" style="695" customWidth="1"/>
    <col min="13829" max="13829" width="7.42578125" style="695" customWidth="1"/>
    <col min="13830" max="13830" width="8.5703125" style="695" customWidth="1"/>
    <col min="13831" max="13831" width="8.140625" style="695" customWidth="1"/>
    <col min="13832" max="13832" width="10.140625" style="695" customWidth="1"/>
    <col min="13833" max="13833" width="8.28515625" style="695" customWidth="1"/>
    <col min="13834" max="13834" width="8.7109375" style="695" customWidth="1"/>
    <col min="13835" max="13835" width="7.7109375" style="695" customWidth="1"/>
    <col min="13836" max="13836" width="8.28515625" style="695" customWidth="1"/>
    <col min="13837" max="13837" width="6.140625" style="695" customWidth="1"/>
    <col min="13838" max="13838" width="8.28515625" style="695" customWidth="1"/>
    <col min="13839" max="13839" width="8.7109375" style="695" customWidth="1"/>
    <col min="13840" max="13840" width="7.28515625" style="695" customWidth="1"/>
    <col min="13841" max="13841" width="8" style="695" customWidth="1"/>
    <col min="13842" max="13842" width="7.85546875" style="695" customWidth="1"/>
    <col min="13843" max="13843" width="8.7109375" style="695" customWidth="1"/>
    <col min="13844" max="13845" width="9" style="695" customWidth="1"/>
    <col min="13846" max="13846" width="7.7109375" style="695" customWidth="1"/>
    <col min="13847" max="13847" width="8.7109375" style="695" customWidth="1"/>
    <col min="13848" max="13848" width="9.42578125" style="695" customWidth="1"/>
    <col min="13849" max="13849" width="8.28515625" style="695" customWidth="1"/>
    <col min="13850" max="13850" width="7.42578125" style="695" customWidth="1"/>
    <col min="13851" max="13851" width="12.85546875" style="695" bestFit="1" customWidth="1"/>
    <col min="13852" max="14080" width="9.140625" style="695"/>
    <col min="14081" max="14081" width="5" style="695" customWidth="1"/>
    <col min="14082" max="14082" width="41.140625" style="695" customWidth="1"/>
    <col min="14083" max="14083" width="8.7109375" style="695" customWidth="1"/>
    <col min="14084" max="14084" width="11.7109375" style="695" customWidth="1"/>
    <col min="14085" max="14085" width="7.42578125" style="695" customWidth="1"/>
    <col min="14086" max="14086" width="8.5703125" style="695" customWidth="1"/>
    <col min="14087" max="14087" width="8.140625" style="695" customWidth="1"/>
    <col min="14088" max="14088" width="10.140625" style="695" customWidth="1"/>
    <col min="14089" max="14089" width="8.28515625" style="695" customWidth="1"/>
    <col min="14090" max="14090" width="8.7109375" style="695" customWidth="1"/>
    <col min="14091" max="14091" width="7.7109375" style="695" customWidth="1"/>
    <col min="14092" max="14092" width="8.28515625" style="695" customWidth="1"/>
    <col min="14093" max="14093" width="6.140625" style="695" customWidth="1"/>
    <col min="14094" max="14094" width="8.28515625" style="695" customWidth="1"/>
    <col min="14095" max="14095" width="8.7109375" style="695" customWidth="1"/>
    <col min="14096" max="14096" width="7.28515625" style="695" customWidth="1"/>
    <col min="14097" max="14097" width="8" style="695" customWidth="1"/>
    <col min="14098" max="14098" width="7.85546875" style="695" customWidth="1"/>
    <col min="14099" max="14099" width="8.7109375" style="695" customWidth="1"/>
    <col min="14100" max="14101" width="9" style="695" customWidth="1"/>
    <col min="14102" max="14102" width="7.7109375" style="695" customWidth="1"/>
    <col min="14103" max="14103" width="8.7109375" style="695" customWidth="1"/>
    <col min="14104" max="14104" width="9.42578125" style="695" customWidth="1"/>
    <col min="14105" max="14105" width="8.28515625" style="695" customWidth="1"/>
    <col min="14106" max="14106" width="7.42578125" style="695" customWidth="1"/>
    <col min="14107" max="14107" width="12.85546875" style="695" bestFit="1" customWidth="1"/>
    <col min="14108" max="14336" width="9.140625" style="695"/>
    <col min="14337" max="14337" width="5" style="695" customWidth="1"/>
    <col min="14338" max="14338" width="41.140625" style="695" customWidth="1"/>
    <col min="14339" max="14339" width="8.7109375" style="695" customWidth="1"/>
    <col min="14340" max="14340" width="11.7109375" style="695" customWidth="1"/>
    <col min="14341" max="14341" width="7.42578125" style="695" customWidth="1"/>
    <col min="14342" max="14342" width="8.5703125" style="695" customWidth="1"/>
    <col min="14343" max="14343" width="8.140625" style="695" customWidth="1"/>
    <col min="14344" max="14344" width="10.140625" style="695" customWidth="1"/>
    <col min="14345" max="14345" width="8.28515625" style="695" customWidth="1"/>
    <col min="14346" max="14346" width="8.7109375" style="695" customWidth="1"/>
    <col min="14347" max="14347" width="7.7109375" style="695" customWidth="1"/>
    <col min="14348" max="14348" width="8.28515625" style="695" customWidth="1"/>
    <col min="14349" max="14349" width="6.140625" style="695" customWidth="1"/>
    <col min="14350" max="14350" width="8.28515625" style="695" customWidth="1"/>
    <col min="14351" max="14351" width="8.7109375" style="695" customWidth="1"/>
    <col min="14352" max="14352" width="7.28515625" style="695" customWidth="1"/>
    <col min="14353" max="14353" width="8" style="695" customWidth="1"/>
    <col min="14354" max="14354" width="7.85546875" style="695" customWidth="1"/>
    <col min="14355" max="14355" width="8.7109375" style="695" customWidth="1"/>
    <col min="14356" max="14357" width="9" style="695" customWidth="1"/>
    <col min="14358" max="14358" width="7.7109375" style="695" customWidth="1"/>
    <col min="14359" max="14359" width="8.7109375" style="695" customWidth="1"/>
    <col min="14360" max="14360" width="9.42578125" style="695" customWidth="1"/>
    <col min="14361" max="14361" width="8.28515625" style="695" customWidth="1"/>
    <col min="14362" max="14362" width="7.42578125" style="695" customWidth="1"/>
    <col min="14363" max="14363" width="12.85546875" style="695" bestFit="1" customWidth="1"/>
    <col min="14364" max="14592" width="9.140625" style="695"/>
    <col min="14593" max="14593" width="5" style="695" customWidth="1"/>
    <col min="14594" max="14594" width="41.140625" style="695" customWidth="1"/>
    <col min="14595" max="14595" width="8.7109375" style="695" customWidth="1"/>
    <col min="14596" max="14596" width="11.7109375" style="695" customWidth="1"/>
    <col min="14597" max="14597" width="7.42578125" style="695" customWidth="1"/>
    <col min="14598" max="14598" width="8.5703125" style="695" customWidth="1"/>
    <col min="14599" max="14599" width="8.140625" style="695" customWidth="1"/>
    <col min="14600" max="14600" width="10.140625" style="695" customWidth="1"/>
    <col min="14601" max="14601" width="8.28515625" style="695" customWidth="1"/>
    <col min="14602" max="14602" width="8.7109375" style="695" customWidth="1"/>
    <col min="14603" max="14603" width="7.7109375" style="695" customWidth="1"/>
    <col min="14604" max="14604" width="8.28515625" style="695" customWidth="1"/>
    <col min="14605" max="14605" width="6.140625" style="695" customWidth="1"/>
    <col min="14606" max="14606" width="8.28515625" style="695" customWidth="1"/>
    <col min="14607" max="14607" width="8.7109375" style="695" customWidth="1"/>
    <col min="14608" max="14608" width="7.28515625" style="695" customWidth="1"/>
    <col min="14609" max="14609" width="8" style="695" customWidth="1"/>
    <col min="14610" max="14610" width="7.85546875" style="695" customWidth="1"/>
    <col min="14611" max="14611" width="8.7109375" style="695" customWidth="1"/>
    <col min="14612" max="14613" width="9" style="695" customWidth="1"/>
    <col min="14614" max="14614" width="7.7109375" style="695" customWidth="1"/>
    <col min="14615" max="14615" width="8.7109375" style="695" customWidth="1"/>
    <col min="14616" max="14616" width="9.42578125" style="695" customWidth="1"/>
    <col min="14617" max="14617" width="8.28515625" style="695" customWidth="1"/>
    <col min="14618" max="14618" width="7.42578125" style="695" customWidth="1"/>
    <col min="14619" max="14619" width="12.85546875" style="695" bestFit="1" customWidth="1"/>
    <col min="14620" max="14848" width="9.140625" style="695"/>
    <col min="14849" max="14849" width="5" style="695" customWidth="1"/>
    <col min="14850" max="14850" width="41.140625" style="695" customWidth="1"/>
    <col min="14851" max="14851" width="8.7109375" style="695" customWidth="1"/>
    <col min="14852" max="14852" width="11.7109375" style="695" customWidth="1"/>
    <col min="14853" max="14853" width="7.42578125" style="695" customWidth="1"/>
    <col min="14854" max="14854" width="8.5703125" style="695" customWidth="1"/>
    <col min="14855" max="14855" width="8.140625" style="695" customWidth="1"/>
    <col min="14856" max="14856" width="10.140625" style="695" customWidth="1"/>
    <col min="14857" max="14857" width="8.28515625" style="695" customWidth="1"/>
    <col min="14858" max="14858" width="8.7109375" style="695" customWidth="1"/>
    <col min="14859" max="14859" width="7.7109375" style="695" customWidth="1"/>
    <col min="14860" max="14860" width="8.28515625" style="695" customWidth="1"/>
    <col min="14861" max="14861" width="6.140625" style="695" customWidth="1"/>
    <col min="14862" max="14862" width="8.28515625" style="695" customWidth="1"/>
    <col min="14863" max="14863" width="8.7109375" style="695" customWidth="1"/>
    <col min="14864" max="14864" width="7.28515625" style="695" customWidth="1"/>
    <col min="14865" max="14865" width="8" style="695" customWidth="1"/>
    <col min="14866" max="14866" width="7.85546875" style="695" customWidth="1"/>
    <col min="14867" max="14867" width="8.7109375" style="695" customWidth="1"/>
    <col min="14868" max="14869" width="9" style="695" customWidth="1"/>
    <col min="14870" max="14870" width="7.7109375" style="695" customWidth="1"/>
    <col min="14871" max="14871" width="8.7109375" style="695" customWidth="1"/>
    <col min="14872" max="14872" width="9.42578125" style="695" customWidth="1"/>
    <col min="14873" max="14873" width="8.28515625" style="695" customWidth="1"/>
    <col min="14874" max="14874" width="7.42578125" style="695" customWidth="1"/>
    <col min="14875" max="14875" width="12.85546875" style="695" bestFit="1" customWidth="1"/>
    <col min="14876" max="15104" width="9.140625" style="695"/>
    <col min="15105" max="15105" width="5" style="695" customWidth="1"/>
    <col min="15106" max="15106" width="41.140625" style="695" customWidth="1"/>
    <col min="15107" max="15107" width="8.7109375" style="695" customWidth="1"/>
    <col min="15108" max="15108" width="11.7109375" style="695" customWidth="1"/>
    <col min="15109" max="15109" width="7.42578125" style="695" customWidth="1"/>
    <col min="15110" max="15110" width="8.5703125" style="695" customWidth="1"/>
    <col min="15111" max="15111" width="8.140625" style="695" customWidth="1"/>
    <col min="15112" max="15112" width="10.140625" style="695" customWidth="1"/>
    <col min="15113" max="15113" width="8.28515625" style="695" customWidth="1"/>
    <col min="15114" max="15114" width="8.7109375" style="695" customWidth="1"/>
    <col min="15115" max="15115" width="7.7109375" style="695" customWidth="1"/>
    <col min="15116" max="15116" width="8.28515625" style="695" customWidth="1"/>
    <col min="15117" max="15117" width="6.140625" style="695" customWidth="1"/>
    <col min="15118" max="15118" width="8.28515625" style="695" customWidth="1"/>
    <col min="15119" max="15119" width="8.7109375" style="695" customWidth="1"/>
    <col min="15120" max="15120" width="7.28515625" style="695" customWidth="1"/>
    <col min="15121" max="15121" width="8" style="695" customWidth="1"/>
    <col min="15122" max="15122" width="7.85546875" style="695" customWidth="1"/>
    <col min="15123" max="15123" width="8.7109375" style="695" customWidth="1"/>
    <col min="15124" max="15125" width="9" style="695" customWidth="1"/>
    <col min="15126" max="15126" width="7.7109375" style="695" customWidth="1"/>
    <col min="15127" max="15127" width="8.7109375" style="695" customWidth="1"/>
    <col min="15128" max="15128" width="9.42578125" style="695" customWidth="1"/>
    <col min="15129" max="15129" width="8.28515625" style="695" customWidth="1"/>
    <col min="15130" max="15130" width="7.42578125" style="695" customWidth="1"/>
    <col min="15131" max="15131" width="12.85546875" style="695" bestFit="1" customWidth="1"/>
    <col min="15132" max="15360" width="9.140625" style="695"/>
    <col min="15361" max="15361" width="5" style="695" customWidth="1"/>
    <col min="15362" max="15362" width="41.140625" style="695" customWidth="1"/>
    <col min="15363" max="15363" width="8.7109375" style="695" customWidth="1"/>
    <col min="15364" max="15364" width="11.7109375" style="695" customWidth="1"/>
    <col min="15365" max="15365" width="7.42578125" style="695" customWidth="1"/>
    <col min="15366" max="15366" width="8.5703125" style="695" customWidth="1"/>
    <col min="15367" max="15367" width="8.140625" style="695" customWidth="1"/>
    <col min="15368" max="15368" width="10.140625" style="695" customWidth="1"/>
    <col min="15369" max="15369" width="8.28515625" style="695" customWidth="1"/>
    <col min="15370" max="15370" width="8.7109375" style="695" customWidth="1"/>
    <col min="15371" max="15371" width="7.7109375" style="695" customWidth="1"/>
    <col min="15372" max="15372" width="8.28515625" style="695" customWidth="1"/>
    <col min="15373" max="15373" width="6.140625" style="695" customWidth="1"/>
    <col min="15374" max="15374" width="8.28515625" style="695" customWidth="1"/>
    <col min="15375" max="15375" width="8.7109375" style="695" customWidth="1"/>
    <col min="15376" max="15376" width="7.28515625" style="695" customWidth="1"/>
    <col min="15377" max="15377" width="8" style="695" customWidth="1"/>
    <col min="15378" max="15378" width="7.85546875" style="695" customWidth="1"/>
    <col min="15379" max="15379" width="8.7109375" style="695" customWidth="1"/>
    <col min="15380" max="15381" width="9" style="695" customWidth="1"/>
    <col min="15382" max="15382" width="7.7109375" style="695" customWidth="1"/>
    <col min="15383" max="15383" width="8.7109375" style="695" customWidth="1"/>
    <col min="15384" max="15384" width="9.42578125" style="695" customWidth="1"/>
    <col min="15385" max="15385" width="8.28515625" style="695" customWidth="1"/>
    <col min="15386" max="15386" width="7.42578125" style="695" customWidth="1"/>
    <col min="15387" max="15387" width="12.85546875" style="695" bestFit="1" customWidth="1"/>
    <col min="15388" max="15616" width="9.140625" style="695"/>
    <col min="15617" max="15617" width="5" style="695" customWidth="1"/>
    <col min="15618" max="15618" width="41.140625" style="695" customWidth="1"/>
    <col min="15619" max="15619" width="8.7109375" style="695" customWidth="1"/>
    <col min="15620" max="15620" width="11.7109375" style="695" customWidth="1"/>
    <col min="15621" max="15621" width="7.42578125" style="695" customWidth="1"/>
    <col min="15622" max="15622" width="8.5703125" style="695" customWidth="1"/>
    <col min="15623" max="15623" width="8.140625" style="695" customWidth="1"/>
    <col min="15624" max="15624" width="10.140625" style="695" customWidth="1"/>
    <col min="15625" max="15625" width="8.28515625" style="695" customWidth="1"/>
    <col min="15626" max="15626" width="8.7109375" style="695" customWidth="1"/>
    <col min="15627" max="15627" width="7.7109375" style="695" customWidth="1"/>
    <col min="15628" max="15628" width="8.28515625" style="695" customWidth="1"/>
    <col min="15629" max="15629" width="6.140625" style="695" customWidth="1"/>
    <col min="15630" max="15630" width="8.28515625" style="695" customWidth="1"/>
    <col min="15631" max="15631" width="8.7109375" style="695" customWidth="1"/>
    <col min="15632" max="15632" width="7.28515625" style="695" customWidth="1"/>
    <col min="15633" max="15633" width="8" style="695" customWidth="1"/>
    <col min="15634" max="15634" width="7.85546875" style="695" customWidth="1"/>
    <col min="15635" max="15635" width="8.7109375" style="695" customWidth="1"/>
    <col min="15636" max="15637" width="9" style="695" customWidth="1"/>
    <col min="15638" max="15638" width="7.7109375" style="695" customWidth="1"/>
    <col min="15639" max="15639" width="8.7109375" style="695" customWidth="1"/>
    <col min="15640" max="15640" width="9.42578125" style="695" customWidth="1"/>
    <col min="15641" max="15641" width="8.28515625" style="695" customWidth="1"/>
    <col min="15642" max="15642" width="7.42578125" style="695" customWidth="1"/>
    <col min="15643" max="15643" width="12.85546875" style="695" bestFit="1" customWidth="1"/>
    <col min="15644" max="15872" width="9.140625" style="695"/>
    <col min="15873" max="15873" width="5" style="695" customWidth="1"/>
    <col min="15874" max="15874" width="41.140625" style="695" customWidth="1"/>
    <col min="15875" max="15875" width="8.7109375" style="695" customWidth="1"/>
    <col min="15876" max="15876" width="11.7109375" style="695" customWidth="1"/>
    <col min="15877" max="15877" width="7.42578125" style="695" customWidth="1"/>
    <col min="15878" max="15878" width="8.5703125" style="695" customWidth="1"/>
    <col min="15879" max="15879" width="8.140625" style="695" customWidth="1"/>
    <col min="15880" max="15880" width="10.140625" style="695" customWidth="1"/>
    <col min="15881" max="15881" width="8.28515625" style="695" customWidth="1"/>
    <col min="15882" max="15882" width="8.7109375" style="695" customWidth="1"/>
    <col min="15883" max="15883" width="7.7109375" style="695" customWidth="1"/>
    <col min="15884" max="15884" width="8.28515625" style="695" customWidth="1"/>
    <col min="15885" max="15885" width="6.140625" style="695" customWidth="1"/>
    <col min="15886" max="15886" width="8.28515625" style="695" customWidth="1"/>
    <col min="15887" max="15887" width="8.7109375" style="695" customWidth="1"/>
    <col min="15888" max="15888" width="7.28515625" style="695" customWidth="1"/>
    <col min="15889" max="15889" width="8" style="695" customWidth="1"/>
    <col min="15890" max="15890" width="7.85546875" style="695" customWidth="1"/>
    <col min="15891" max="15891" width="8.7109375" style="695" customWidth="1"/>
    <col min="15892" max="15893" width="9" style="695" customWidth="1"/>
    <col min="15894" max="15894" width="7.7109375" style="695" customWidth="1"/>
    <col min="15895" max="15895" width="8.7109375" style="695" customWidth="1"/>
    <col min="15896" max="15896" width="9.42578125" style="695" customWidth="1"/>
    <col min="15897" max="15897" width="8.28515625" style="695" customWidth="1"/>
    <col min="15898" max="15898" width="7.42578125" style="695" customWidth="1"/>
    <col min="15899" max="15899" width="12.85546875" style="695" bestFit="1" customWidth="1"/>
    <col min="15900" max="16128" width="9.140625" style="695"/>
    <col min="16129" max="16129" width="5" style="695" customWidth="1"/>
    <col min="16130" max="16130" width="41.140625" style="695" customWidth="1"/>
    <col min="16131" max="16131" width="8.7109375" style="695" customWidth="1"/>
    <col min="16132" max="16132" width="11.7109375" style="695" customWidth="1"/>
    <col min="16133" max="16133" width="7.42578125" style="695" customWidth="1"/>
    <col min="16134" max="16134" width="8.5703125" style="695" customWidth="1"/>
    <col min="16135" max="16135" width="8.140625" style="695" customWidth="1"/>
    <col min="16136" max="16136" width="10.140625" style="695" customWidth="1"/>
    <col min="16137" max="16137" width="8.28515625" style="695" customWidth="1"/>
    <col min="16138" max="16138" width="8.7109375" style="695" customWidth="1"/>
    <col min="16139" max="16139" width="7.7109375" style="695" customWidth="1"/>
    <col min="16140" max="16140" width="8.28515625" style="695" customWidth="1"/>
    <col min="16141" max="16141" width="6.140625" style="695" customWidth="1"/>
    <col min="16142" max="16142" width="8.28515625" style="695" customWidth="1"/>
    <col min="16143" max="16143" width="8.7109375" style="695" customWidth="1"/>
    <col min="16144" max="16144" width="7.28515625" style="695" customWidth="1"/>
    <col min="16145" max="16145" width="8" style="695" customWidth="1"/>
    <col min="16146" max="16146" width="7.85546875" style="695" customWidth="1"/>
    <col min="16147" max="16147" width="8.7109375" style="695" customWidth="1"/>
    <col min="16148" max="16149" width="9" style="695" customWidth="1"/>
    <col min="16150" max="16150" width="7.7109375" style="695" customWidth="1"/>
    <col min="16151" max="16151" width="8.7109375" style="695" customWidth="1"/>
    <col min="16152" max="16152" width="9.42578125" style="695" customWidth="1"/>
    <col min="16153" max="16153" width="8.28515625" style="695" customWidth="1"/>
    <col min="16154" max="16154" width="7.42578125" style="695" customWidth="1"/>
    <col min="16155" max="16155" width="12.85546875" style="695" bestFit="1" customWidth="1"/>
    <col min="16156" max="16384" width="9.140625" style="695"/>
  </cols>
  <sheetData>
    <row r="1" spans="1:27" s="697" customFormat="1" ht="31.5" customHeight="1">
      <c r="A1" s="2009" t="s">
        <v>748</v>
      </c>
      <c r="B1" s="2009"/>
      <c r="C1" s="2009"/>
      <c r="D1" s="2009"/>
      <c r="E1" s="2009"/>
      <c r="F1" s="2009"/>
      <c r="G1" s="2009"/>
      <c r="H1" s="2009"/>
      <c r="I1" s="2009"/>
      <c r="J1" s="2009"/>
      <c r="K1" s="2009"/>
      <c r="L1" s="2009"/>
      <c r="M1" s="2009"/>
      <c r="N1" s="2009"/>
      <c r="O1" s="2009"/>
      <c r="P1" s="2009"/>
      <c r="Q1" s="2009"/>
      <c r="R1" s="2009"/>
      <c r="S1" s="2009"/>
      <c r="T1" s="2009"/>
      <c r="U1" s="2009"/>
      <c r="V1" s="2009"/>
      <c r="W1" s="2009"/>
      <c r="X1" s="2009"/>
      <c r="Y1" s="2009"/>
      <c r="Z1" s="2009"/>
    </row>
    <row r="2" spans="1:27" s="697" customFormat="1" ht="31.5" hidden="1" customHeight="1">
      <c r="A2" s="2009"/>
      <c r="B2" s="2009"/>
      <c r="C2" s="2009"/>
      <c r="D2" s="2009"/>
      <c r="E2" s="2009"/>
      <c r="F2" s="2009"/>
      <c r="G2" s="2009"/>
      <c r="H2" s="2009"/>
      <c r="I2" s="2009"/>
      <c r="J2" s="2009"/>
      <c r="K2" s="2009"/>
      <c r="L2" s="2009"/>
      <c r="M2" s="2009"/>
      <c r="N2" s="2009"/>
      <c r="O2" s="2009"/>
      <c r="P2" s="2009"/>
      <c r="Q2" s="2009"/>
      <c r="R2" s="2009"/>
      <c r="S2" s="2009"/>
      <c r="T2" s="2009"/>
      <c r="U2" s="2009"/>
      <c r="V2" s="2009"/>
      <c r="W2" s="2009"/>
      <c r="X2" s="2009"/>
      <c r="Y2" s="2009"/>
      <c r="Z2" s="2009"/>
    </row>
    <row r="3" spans="1:27" s="697" customFormat="1" ht="18.75" customHeight="1">
      <c r="A3" s="699" t="s">
        <v>749</v>
      </c>
      <c r="B3" s="699"/>
      <c r="C3" s="700"/>
      <c r="D3" s="699"/>
      <c r="E3" s="699"/>
      <c r="F3" s="699"/>
      <c r="G3" s="699"/>
      <c r="H3" s="699"/>
      <c r="I3" s="699"/>
      <c r="J3" s="699"/>
      <c r="K3" s="699"/>
      <c r="L3" s="699"/>
      <c r="M3" s="699"/>
      <c r="N3" s="753"/>
      <c r="O3" s="699"/>
      <c r="P3" s="699"/>
      <c r="Q3" s="701"/>
      <c r="R3" s="699"/>
      <c r="S3" s="699"/>
      <c r="T3" s="695"/>
      <c r="U3" s="695"/>
      <c r="V3" s="698"/>
      <c r="W3" s="702" t="s">
        <v>750</v>
      </c>
      <c r="X3" s="698"/>
      <c r="Y3" s="698"/>
      <c r="Z3" s="698"/>
    </row>
    <row r="4" spans="1:27" s="743" customFormat="1" ht="38.25" customHeight="1">
      <c r="A4" s="2010" t="s">
        <v>309</v>
      </c>
      <c r="B4" s="2010" t="s">
        <v>751</v>
      </c>
      <c r="C4" s="2012" t="s">
        <v>752</v>
      </c>
      <c r="D4" s="2010" t="s">
        <v>753</v>
      </c>
      <c r="E4" s="2014" t="s">
        <v>754</v>
      </c>
      <c r="F4" s="2014"/>
      <c r="G4" s="2014"/>
      <c r="H4" s="2014"/>
      <c r="I4" s="2014"/>
      <c r="J4" s="2014"/>
      <c r="K4" s="2014"/>
      <c r="L4" s="2014"/>
      <c r="M4" s="2014"/>
      <c r="N4" s="2015" t="s">
        <v>755</v>
      </c>
      <c r="O4" s="2007" t="s">
        <v>756</v>
      </c>
      <c r="P4" s="2007"/>
      <c r="Q4" s="2007"/>
      <c r="R4" s="2007"/>
      <c r="S4" s="2007"/>
      <c r="T4" s="2007"/>
      <c r="U4" s="2007"/>
      <c r="V4" s="2007"/>
      <c r="W4" s="2007"/>
      <c r="X4" s="2007"/>
      <c r="Y4" s="2007"/>
      <c r="Z4" s="2007"/>
      <c r="AA4" s="2008" t="s">
        <v>757</v>
      </c>
    </row>
    <row r="5" spans="1:27" s="743" customFormat="1" ht="97.5" customHeight="1">
      <c r="A5" s="2011"/>
      <c r="B5" s="2011"/>
      <c r="C5" s="2013"/>
      <c r="D5" s="2011"/>
      <c r="E5" s="749" t="s">
        <v>758</v>
      </c>
      <c r="F5" s="749" t="s">
        <v>759</v>
      </c>
      <c r="G5" s="749" t="s">
        <v>760</v>
      </c>
      <c r="H5" s="750" t="s">
        <v>761</v>
      </c>
      <c r="I5" s="750" t="s">
        <v>762</v>
      </c>
      <c r="J5" s="750" t="s">
        <v>763</v>
      </c>
      <c r="K5" s="750" t="s">
        <v>764</v>
      </c>
      <c r="L5" s="751" t="s">
        <v>765</v>
      </c>
      <c r="M5" s="750" t="s">
        <v>766</v>
      </c>
      <c r="N5" s="2016"/>
      <c r="O5" s="750" t="s">
        <v>727</v>
      </c>
      <c r="P5" s="750" t="s">
        <v>728</v>
      </c>
      <c r="Q5" s="752" t="s">
        <v>729</v>
      </c>
      <c r="R5" s="750" t="s">
        <v>730</v>
      </c>
      <c r="S5" s="750" t="s">
        <v>767</v>
      </c>
      <c r="T5" s="750" t="s">
        <v>732</v>
      </c>
      <c r="U5" s="750" t="s">
        <v>733</v>
      </c>
      <c r="V5" s="750" t="s">
        <v>734</v>
      </c>
      <c r="W5" s="750" t="s">
        <v>735</v>
      </c>
      <c r="X5" s="750" t="s">
        <v>736</v>
      </c>
      <c r="Y5" s="750" t="s">
        <v>737</v>
      </c>
      <c r="Z5" s="750" t="s">
        <v>738</v>
      </c>
      <c r="AA5" s="2008"/>
    </row>
    <row r="6" spans="1:27" s="743" customFormat="1" ht="54.75" customHeight="1">
      <c r="A6" s="738"/>
      <c r="B6" s="739" t="s">
        <v>769</v>
      </c>
      <c r="C6" s="740">
        <f t="shared" ref="C6:H6" si="0">C7+C12+C17+C18+C24+C25+C26+C27+C28+C29+C30+C36+C37+C41+C35+C34+C33+C32+C31+C46</f>
        <v>106039.216975</v>
      </c>
      <c r="D6" s="740">
        <f t="shared" si="0"/>
        <v>50202.54</v>
      </c>
      <c r="E6" s="705">
        <f t="shared" si="0"/>
        <v>320</v>
      </c>
      <c r="F6" s="705">
        <f t="shared" si="0"/>
        <v>3085</v>
      </c>
      <c r="G6" s="705">
        <f t="shared" si="0"/>
        <v>6691.54</v>
      </c>
      <c r="H6" s="705">
        <f t="shared" si="0"/>
        <v>39732</v>
      </c>
      <c r="I6" s="740">
        <f>I7+I12+I17+I18+I24+I25+I26+I27+I28+I29+I30+I36+I37+I41+I35+I34+I33+I32+I31</f>
        <v>0</v>
      </c>
      <c r="J6" s="705">
        <f>J7+J12+J17+J18+J24+J25+J26+J27+J28+J29+J30+J36+J37+J41+J35+J34+J33+J32+J31+J46</f>
        <v>374</v>
      </c>
      <c r="K6" s="740">
        <f>K7+K12+K17+K18+K24+K25+K26+K27+K28+K29+K30+K36+K37+K41+K35+K34+K33+K32+K31</f>
        <v>0</v>
      </c>
      <c r="L6" s="740">
        <f>L7+L12+L17+L18+L24+L25+L26+L27+L28+L29+L30+L36+L37+L41+L35+L34+L33+L32+L31</f>
        <v>0</v>
      </c>
      <c r="M6" s="740">
        <f>M7+M12+M17+M18+M24+M25+M26+M27+M28+M29+M30+M36+M37+M41+M35+M34+M33+M32+M31</f>
        <v>0</v>
      </c>
      <c r="N6" s="741">
        <f t="shared" ref="N6:N50" si="1">SUM(O6:Z6)</f>
        <v>55836.676974999988</v>
      </c>
      <c r="O6" s="705">
        <f t="shared" ref="O6:T6" si="2">O7+O12+O17+O18+O24+O25+O26+O27+O28+O29+O30+O36+O37+O41+O35+O34+O33+O32+O31+O46</f>
        <v>6956.3649999999998</v>
      </c>
      <c r="P6" s="705">
        <f t="shared" si="2"/>
        <v>2865.2569999999996</v>
      </c>
      <c r="Q6" s="705">
        <f t="shared" si="2"/>
        <v>3287.5949999999998</v>
      </c>
      <c r="R6" s="705">
        <f t="shared" si="2"/>
        <v>5740.8</v>
      </c>
      <c r="S6" s="705">
        <f t="shared" si="2"/>
        <v>4930.1899999999996</v>
      </c>
      <c r="T6" s="705">
        <f t="shared" si="2"/>
        <v>2630.4459999999999</v>
      </c>
      <c r="U6" s="705">
        <v>6323.9129750000002</v>
      </c>
      <c r="V6" s="705">
        <f>V7+V12+V17+V18+V24+V25+V26+V27+V28+V29+V30+V36+V37+V41+V35+V34+V33+V32+V31+V46</f>
        <v>5244.4670000000006</v>
      </c>
      <c r="W6" s="705">
        <f>W7+W12+W17+W18+W24+W25+W26+W27+W28+W29+W30+W36+W37+W41+W35+W34+W33+W32+W31+W46</f>
        <v>7110.1319999999996</v>
      </c>
      <c r="X6" s="705">
        <f>X7+X12+X17+X18+X24+X25+X26+X27+X28+X29+X30+X36+X37+X41+X35+X34+X33+X32+X31+X46</f>
        <v>3506.0519999999992</v>
      </c>
      <c r="Y6" s="705">
        <f>Y7+Y12+Y17+Y18+Y24+Y25+Y26+Y27+Y28+Y29+Y30+Y36+Y37+Y41+Y35+Y34+Y33+Y32+Y31+Y46</f>
        <v>3839.1000000000004</v>
      </c>
      <c r="Z6" s="705">
        <f>Z7+Z12+Z17+Z18+Z24+Z25+Z26+Z27+Z28+Z29+Z30+Z36+Z37+Z41+Z35+Z34+Z33+Z32+Z31+Z46</f>
        <v>3402.36</v>
      </c>
      <c r="AA6" s="742"/>
    </row>
    <row r="7" spans="1:27" s="743" customFormat="1" ht="38.25">
      <c r="A7" s="744">
        <v>1</v>
      </c>
      <c r="B7" s="745" t="s">
        <v>770</v>
      </c>
      <c r="C7" s="740">
        <f>D7+N7</f>
        <v>30392.191999999999</v>
      </c>
      <c r="D7" s="746">
        <f>SUM(E7:M7)</f>
        <v>14295</v>
      </c>
      <c r="E7" s="747">
        <f t="shared" ref="E7:M7" si="3">E8+E9+E10+E11</f>
        <v>0</v>
      </c>
      <c r="F7" s="747">
        <f t="shared" si="3"/>
        <v>0</v>
      </c>
      <c r="G7" s="747">
        <f t="shared" si="3"/>
        <v>0</v>
      </c>
      <c r="H7" s="747">
        <f t="shared" si="3"/>
        <v>14295</v>
      </c>
      <c r="I7" s="741">
        <f t="shared" si="3"/>
        <v>0</v>
      </c>
      <c r="J7" s="747">
        <f t="shared" si="3"/>
        <v>0</v>
      </c>
      <c r="K7" s="741">
        <f t="shared" si="3"/>
        <v>0</v>
      </c>
      <c r="L7" s="741">
        <f t="shared" si="3"/>
        <v>0</v>
      </c>
      <c r="M7" s="741">
        <f t="shared" si="3"/>
        <v>0</v>
      </c>
      <c r="N7" s="741">
        <f t="shared" si="1"/>
        <v>16097.191999999999</v>
      </c>
      <c r="O7" s="747">
        <f t="shared" ref="O7:Z7" si="4">O8+O9+O10+O11</f>
        <v>1673.104</v>
      </c>
      <c r="P7" s="747">
        <f t="shared" si="4"/>
        <v>955.66800000000001</v>
      </c>
      <c r="Q7" s="747">
        <f t="shared" si="4"/>
        <v>1322</v>
      </c>
      <c r="R7" s="747">
        <f t="shared" si="4"/>
        <v>1663</v>
      </c>
      <c r="S7" s="747">
        <f t="shared" si="4"/>
        <v>1359</v>
      </c>
      <c r="T7" s="747">
        <f t="shared" si="4"/>
        <v>1005.4599999999999</v>
      </c>
      <c r="U7" s="747">
        <f t="shared" si="4"/>
        <v>1718.1</v>
      </c>
      <c r="V7" s="747">
        <f t="shared" si="4"/>
        <v>1518.5790000000002</v>
      </c>
      <c r="W7" s="747">
        <f t="shared" si="4"/>
        <v>1484</v>
      </c>
      <c r="X7" s="747">
        <f t="shared" si="4"/>
        <v>1197.1409999999998</v>
      </c>
      <c r="Y7" s="747">
        <f t="shared" si="4"/>
        <v>1100.1400000000001</v>
      </c>
      <c r="Z7" s="747">
        <f t="shared" si="4"/>
        <v>1101</v>
      </c>
    </row>
    <row r="8" spans="1:27" s="697" customFormat="1">
      <c r="A8" s="706" t="s">
        <v>806</v>
      </c>
      <c r="B8" s="748" t="s">
        <v>771</v>
      </c>
      <c r="C8" s="703">
        <f t="shared" ref="C8:C48" si="5">D8+N8</f>
        <v>2258.3649999999998</v>
      </c>
      <c r="D8" s="704">
        <f t="shared" ref="D8:D50" si="6">SUM(E8:M8)</f>
        <v>102</v>
      </c>
      <c r="E8" s="729"/>
      <c r="F8" s="729"/>
      <c r="G8" s="729"/>
      <c r="H8" s="729">
        <v>102</v>
      </c>
      <c r="I8" s="730"/>
      <c r="J8" s="729"/>
      <c r="K8" s="730"/>
      <c r="L8" s="730"/>
      <c r="M8" s="730"/>
      <c r="N8" s="754">
        <f t="shared" si="1"/>
        <v>2156.3649999999998</v>
      </c>
      <c r="O8" s="729">
        <v>117.10400000000004</v>
      </c>
      <c r="P8" s="729">
        <v>50.368000000000002</v>
      </c>
      <c r="Q8" s="729">
        <v>126</v>
      </c>
      <c r="R8" s="729">
        <v>269</v>
      </c>
      <c r="S8" s="729">
        <v>179</v>
      </c>
      <c r="T8" s="729">
        <v>122.91</v>
      </c>
      <c r="U8" s="729">
        <v>455</v>
      </c>
      <c r="V8" s="729">
        <f>483-28-87</f>
        <v>368</v>
      </c>
      <c r="W8" s="729">
        <v>100</v>
      </c>
      <c r="X8" s="729">
        <v>210.983</v>
      </c>
      <c r="Y8" s="729">
        <v>50</v>
      </c>
      <c r="Z8" s="729">
        <v>108</v>
      </c>
    </row>
    <row r="9" spans="1:27" s="697" customFormat="1">
      <c r="A9" s="706" t="s">
        <v>807</v>
      </c>
      <c r="B9" s="707" t="s">
        <v>772</v>
      </c>
      <c r="C9" s="703">
        <f t="shared" si="5"/>
        <v>24473</v>
      </c>
      <c r="D9" s="704">
        <f t="shared" si="6"/>
        <v>13700</v>
      </c>
      <c r="E9" s="729"/>
      <c r="F9" s="729"/>
      <c r="G9" s="729"/>
      <c r="H9" s="729">
        <v>13700</v>
      </c>
      <c r="I9" s="730"/>
      <c r="J9" s="729"/>
      <c r="K9" s="730"/>
      <c r="L9" s="730"/>
      <c r="M9" s="730"/>
      <c r="N9" s="754">
        <f t="shared" si="1"/>
        <v>10773</v>
      </c>
      <c r="O9" s="729">
        <v>668</v>
      </c>
      <c r="P9" s="729">
        <v>852</v>
      </c>
      <c r="Q9" s="729">
        <v>896</v>
      </c>
      <c r="R9" s="729">
        <v>1083</v>
      </c>
      <c r="S9" s="729">
        <v>1028</v>
      </c>
      <c r="T9" s="729">
        <v>870</v>
      </c>
      <c r="U9" s="729">
        <v>1106</v>
      </c>
      <c r="V9" s="729">
        <v>613</v>
      </c>
      <c r="W9" s="729">
        <v>987</v>
      </c>
      <c r="X9" s="729">
        <v>890</v>
      </c>
      <c r="Y9" s="729">
        <v>890</v>
      </c>
      <c r="Z9" s="729">
        <v>890</v>
      </c>
    </row>
    <row r="10" spans="1:27" s="697" customFormat="1" ht="25.5">
      <c r="A10" s="706" t="s">
        <v>808</v>
      </c>
      <c r="B10" s="707" t="s">
        <v>805</v>
      </c>
      <c r="C10" s="703">
        <f t="shared" si="5"/>
        <v>180</v>
      </c>
      <c r="D10" s="704">
        <f t="shared" si="6"/>
        <v>180</v>
      </c>
      <c r="E10" s="729"/>
      <c r="F10" s="729"/>
      <c r="G10" s="729"/>
      <c r="H10" s="729">
        <v>180</v>
      </c>
      <c r="I10" s="730"/>
      <c r="J10" s="729"/>
      <c r="K10" s="730"/>
      <c r="L10" s="730"/>
      <c r="M10" s="730"/>
      <c r="N10" s="754">
        <f t="shared" si="1"/>
        <v>0</v>
      </c>
      <c r="O10" s="729"/>
      <c r="P10" s="729"/>
      <c r="Q10" s="729"/>
      <c r="R10" s="729"/>
      <c r="S10" s="729"/>
      <c r="T10" s="729"/>
      <c r="U10" s="729"/>
      <c r="V10" s="729"/>
      <c r="W10" s="729"/>
      <c r="X10" s="729"/>
      <c r="Y10" s="729"/>
      <c r="Z10" s="729"/>
    </row>
    <row r="11" spans="1:27" s="697" customFormat="1">
      <c r="A11" s="708" t="s">
        <v>809</v>
      </c>
      <c r="B11" s="709" t="s">
        <v>773</v>
      </c>
      <c r="C11" s="703">
        <f t="shared" si="5"/>
        <v>3480.8269999999998</v>
      </c>
      <c r="D11" s="704">
        <f t="shared" si="6"/>
        <v>313</v>
      </c>
      <c r="E11" s="709"/>
      <c r="F11" s="709"/>
      <c r="G11" s="709"/>
      <c r="H11" s="710">
        <v>313</v>
      </c>
      <c r="I11" s="709"/>
      <c r="J11" s="709"/>
      <c r="K11" s="709"/>
      <c r="L11" s="709"/>
      <c r="M11" s="709"/>
      <c r="N11" s="754">
        <f t="shared" si="1"/>
        <v>3167.8269999999998</v>
      </c>
      <c r="O11" s="709">
        <v>888</v>
      </c>
      <c r="P11" s="709">
        <v>53.3</v>
      </c>
      <c r="Q11" s="709">
        <v>300</v>
      </c>
      <c r="R11" s="709">
        <v>311</v>
      </c>
      <c r="S11" s="709">
        <v>152</v>
      </c>
      <c r="T11" s="709">
        <v>12.55</v>
      </c>
      <c r="U11" s="709">
        <v>157.09999999999997</v>
      </c>
      <c r="V11" s="709">
        <v>537.57900000000006</v>
      </c>
      <c r="W11" s="709">
        <v>397</v>
      </c>
      <c r="X11" s="709">
        <v>96.157999999999987</v>
      </c>
      <c r="Y11" s="709">
        <v>160.14000000000001</v>
      </c>
      <c r="Z11" s="709">
        <v>103</v>
      </c>
    </row>
    <row r="12" spans="1:27" s="697" customFormat="1" ht="13.5">
      <c r="A12" s="711">
        <v>2</v>
      </c>
      <c r="B12" s="712" t="s">
        <v>774</v>
      </c>
      <c r="C12" s="703">
        <f t="shared" si="5"/>
        <v>9573.8960000000006</v>
      </c>
      <c r="D12" s="704">
        <f t="shared" si="6"/>
        <v>2310</v>
      </c>
      <c r="E12" s="713">
        <f t="shared" ref="E12:M12" si="7">SUM(E13:E16)</f>
        <v>0</v>
      </c>
      <c r="F12" s="713">
        <f t="shared" si="7"/>
        <v>0</v>
      </c>
      <c r="G12" s="713">
        <f t="shared" si="7"/>
        <v>0</v>
      </c>
      <c r="H12" s="713">
        <f t="shared" si="7"/>
        <v>2310</v>
      </c>
      <c r="I12" s="714">
        <f t="shared" si="7"/>
        <v>0</v>
      </c>
      <c r="J12" s="713">
        <f t="shared" si="7"/>
        <v>0</v>
      </c>
      <c r="K12" s="714">
        <f t="shared" si="7"/>
        <v>0</v>
      </c>
      <c r="L12" s="714">
        <f t="shared" si="7"/>
        <v>0</v>
      </c>
      <c r="M12" s="714">
        <f t="shared" si="7"/>
        <v>0</v>
      </c>
      <c r="N12" s="741">
        <f t="shared" si="1"/>
        <v>7263.8959999999997</v>
      </c>
      <c r="O12" s="713">
        <f t="shared" ref="O12:Z12" si="8">SUM(O13:O16)</f>
        <v>1072.9590000000001</v>
      </c>
      <c r="P12" s="713">
        <f t="shared" si="8"/>
        <v>222.14999999999998</v>
      </c>
      <c r="Q12" s="713">
        <f t="shared" si="8"/>
        <v>177.49599999999998</v>
      </c>
      <c r="R12" s="713">
        <f t="shared" si="8"/>
        <v>646</v>
      </c>
      <c r="S12" s="713">
        <f t="shared" si="8"/>
        <v>528</v>
      </c>
      <c r="T12" s="713">
        <f t="shared" si="8"/>
        <v>172</v>
      </c>
      <c r="U12" s="713">
        <f t="shared" si="8"/>
        <v>1105</v>
      </c>
      <c r="V12" s="713">
        <f t="shared" si="8"/>
        <v>708.66800000000001</v>
      </c>
      <c r="W12" s="713">
        <f t="shared" si="8"/>
        <v>865</v>
      </c>
      <c r="X12" s="713">
        <f t="shared" si="8"/>
        <v>417.62299999999993</v>
      </c>
      <c r="Y12" s="713">
        <f t="shared" si="8"/>
        <v>884</v>
      </c>
      <c r="Z12" s="713">
        <f t="shared" si="8"/>
        <v>465</v>
      </c>
    </row>
    <row r="13" spans="1:27" s="697" customFormat="1" ht="13.5">
      <c r="A13" s="706" t="s">
        <v>806</v>
      </c>
      <c r="B13" s="715" t="s">
        <v>18</v>
      </c>
      <c r="C13" s="703">
        <f t="shared" si="5"/>
        <v>3261.34</v>
      </c>
      <c r="D13" s="704">
        <f t="shared" si="6"/>
        <v>460</v>
      </c>
      <c r="E13" s="709">
        <v>0</v>
      </c>
      <c r="F13" s="709">
        <v>0</v>
      </c>
      <c r="G13" s="709">
        <v>0</v>
      </c>
      <c r="H13" s="709">
        <v>460</v>
      </c>
      <c r="I13" s="709">
        <v>0</v>
      </c>
      <c r="J13" s="709">
        <v>0</v>
      </c>
      <c r="K13" s="709"/>
      <c r="L13" s="709"/>
      <c r="M13" s="709">
        <v>0</v>
      </c>
      <c r="N13" s="741">
        <f t="shared" si="1"/>
        <v>2801.34</v>
      </c>
      <c r="O13" s="709">
        <v>905.93499999999995</v>
      </c>
      <c r="P13" s="709">
        <v>126.75</v>
      </c>
      <c r="Q13" s="709">
        <v>36</v>
      </c>
      <c r="R13" s="709">
        <v>180</v>
      </c>
      <c r="S13" s="709">
        <v>296</v>
      </c>
      <c r="T13" s="709">
        <v>72</v>
      </c>
      <c r="U13" s="709">
        <v>217</v>
      </c>
      <c r="V13" s="709">
        <f>182-5-10</f>
        <v>167</v>
      </c>
      <c r="W13" s="709">
        <v>278</v>
      </c>
      <c r="X13" s="709">
        <f>211.655-44</f>
        <v>167.655</v>
      </c>
      <c r="Y13" s="709">
        <v>243</v>
      </c>
      <c r="Z13" s="709">
        <v>112</v>
      </c>
    </row>
    <row r="14" spans="1:27" s="697" customFormat="1" ht="13.5">
      <c r="A14" s="706" t="s">
        <v>807</v>
      </c>
      <c r="B14" s="715" t="s">
        <v>19</v>
      </c>
      <c r="C14" s="703">
        <f t="shared" si="5"/>
        <v>633.13799999999992</v>
      </c>
      <c r="D14" s="704">
        <f t="shared" si="6"/>
        <v>249</v>
      </c>
      <c r="E14" s="709">
        <v>0</v>
      </c>
      <c r="F14" s="709">
        <v>0</v>
      </c>
      <c r="G14" s="709">
        <v>0</v>
      </c>
      <c r="H14" s="709">
        <f>425-375+199</f>
        <v>249</v>
      </c>
      <c r="I14" s="709">
        <v>0</v>
      </c>
      <c r="J14" s="709">
        <v>0</v>
      </c>
      <c r="K14" s="709"/>
      <c r="L14" s="709"/>
      <c r="M14" s="709">
        <v>0</v>
      </c>
      <c r="N14" s="741">
        <f t="shared" si="1"/>
        <v>384.13799999999998</v>
      </c>
      <c r="O14" s="709">
        <v>81.853999999999999</v>
      </c>
      <c r="P14" s="709">
        <v>19.64</v>
      </c>
      <c r="Q14" s="709">
        <v>37.802</v>
      </c>
      <c r="R14" s="709">
        <v>42</v>
      </c>
      <c r="S14" s="709">
        <v>2</v>
      </c>
      <c r="T14" s="709">
        <v>23</v>
      </c>
      <c r="U14" s="709">
        <v>62</v>
      </c>
      <c r="V14" s="709">
        <v>10.342000000000001</v>
      </c>
      <c r="W14" s="709">
        <v>60</v>
      </c>
      <c r="X14" s="709">
        <f>25.5-8</f>
        <v>17.5</v>
      </c>
      <c r="Y14" s="709">
        <v>14</v>
      </c>
      <c r="Z14" s="709">
        <v>14</v>
      </c>
    </row>
    <row r="15" spans="1:27" s="697" customFormat="1" ht="13.5">
      <c r="A15" s="706" t="s">
        <v>808</v>
      </c>
      <c r="B15" s="715" t="s">
        <v>20</v>
      </c>
      <c r="C15" s="703">
        <f t="shared" si="5"/>
        <v>2366.96</v>
      </c>
      <c r="D15" s="704">
        <f t="shared" si="6"/>
        <v>1092</v>
      </c>
      <c r="E15" s="709">
        <v>0</v>
      </c>
      <c r="F15" s="709">
        <v>0</v>
      </c>
      <c r="G15" s="709">
        <v>0</v>
      </c>
      <c r="H15" s="709">
        <f>1406-1100+786</f>
        <v>1092</v>
      </c>
      <c r="I15" s="709">
        <v>0</v>
      </c>
      <c r="J15" s="709">
        <v>0</v>
      </c>
      <c r="K15" s="709">
        <v>0</v>
      </c>
      <c r="L15" s="709">
        <v>0</v>
      </c>
      <c r="M15" s="709">
        <v>0</v>
      </c>
      <c r="N15" s="741">
        <f t="shared" si="1"/>
        <v>1274.96</v>
      </c>
      <c r="O15" s="709">
        <v>75.2</v>
      </c>
      <c r="P15" s="709">
        <v>37.760000000000005</v>
      </c>
      <c r="Q15" s="709">
        <v>59</v>
      </c>
      <c r="R15" s="709">
        <v>244</v>
      </c>
      <c r="S15" s="709">
        <v>19</v>
      </c>
      <c r="T15" s="709">
        <v>59</v>
      </c>
      <c r="U15" s="709">
        <v>198</v>
      </c>
      <c r="V15" s="709">
        <f>90-6-16</f>
        <v>68</v>
      </c>
      <c r="W15" s="709">
        <v>152</v>
      </c>
      <c r="X15" s="709">
        <v>111</v>
      </c>
      <c r="Y15" s="709">
        <v>143</v>
      </c>
      <c r="Z15" s="709">
        <v>109</v>
      </c>
    </row>
    <row r="16" spans="1:27" s="697" customFormat="1" ht="13.5">
      <c r="A16" s="708" t="s">
        <v>809</v>
      </c>
      <c r="B16" s="715" t="s">
        <v>21</v>
      </c>
      <c r="C16" s="703">
        <f t="shared" si="5"/>
        <v>3312.4580000000001</v>
      </c>
      <c r="D16" s="704">
        <f t="shared" si="6"/>
        <v>509</v>
      </c>
      <c r="E16" s="709">
        <v>0</v>
      </c>
      <c r="F16" s="709">
        <v>0</v>
      </c>
      <c r="G16" s="709">
        <v>0</v>
      </c>
      <c r="H16" s="709">
        <v>509</v>
      </c>
      <c r="I16" s="709">
        <v>0</v>
      </c>
      <c r="J16" s="709">
        <v>0</v>
      </c>
      <c r="K16" s="709">
        <v>0</v>
      </c>
      <c r="L16" s="709">
        <v>0</v>
      </c>
      <c r="M16" s="709">
        <v>0</v>
      </c>
      <c r="N16" s="741">
        <f t="shared" si="1"/>
        <v>2803.4580000000001</v>
      </c>
      <c r="O16" s="709">
        <v>9.9700000000000006</v>
      </c>
      <c r="P16" s="709">
        <v>38</v>
      </c>
      <c r="Q16" s="709">
        <v>44.694000000000003</v>
      </c>
      <c r="R16" s="709">
        <v>180</v>
      </c>
      <c r="S16" s="709">
        <v>211</v>
      </c>
      <c r="T16" s="709">
        <v>18</v>
      </c>
      <c r="U16" s="709">
        <v>628</v>
      </c>
      <c r="V16" s="709">
        <f>525.326-14-48</f>
        <v>463.32600000000002</v>
      </c>
      <c r="W16" s="709">
        <v>375</v>
      </c>
      <c r="X16" s="709">
        <f>224.468-103</f>
        <v>121.46799999999999</v>
      </c>
      <c r="Y16" s="709">
        <v>484</v>
      </c>
      <c r="Z16" s="709">
        <v>230</v>
      </c>
    </row>
    <row r="17" spans="1:26" s="697" customFormat="1" ht="13.5">
      <c r="A17" s="711">
        <v>3</v>
      </c>
      <c r="B17" s="712" t="s">
        <v>775</v>
      </c>
      <c r="C17" s="703">
        <f t="shared" si="5"/>
        <v>14397.165999999999</v>
      </c>
      <c r="D17" s="704">
        <f t="shared" si="6"/>
        <v>10144</v>
      </c>
      <c r="E17" s="709">
        <v>0</v>
      </c>
      <c r="F17" s="709">
        <v>0</v>
      </c>
      <c r="G17" s="709">
        <v>0</v>
      </c>
      <c r="H17" s="709">
        <v>10144</v>
      </c>
      <c r="I17" s="708">
        <v>0</v>
      </c>
      <c r="J17" s="709">
        <v>0</v>
      </c>
      <c r="K17" s="708">
        <v>0</v>
      </c>
      <c r="L17" s="708">
        <v>0</v>
      </c>
      <c r="M17" s="708">
        <v>0</v>
      </c>
      <c r="N17" s="741">
        <f t="shared" si="1"/>
        <v>4253.1659999999993</v>
      </c>
      <c r="O17" s="709">
        <v>366</v>
      </c>
      <c r="P17" s="709">
        <v>455.2</v>
      </c>
      <c r="Q17" s="709">
        <v>210.416</v>
      </c>
      <c r="R17" s="709">
        <v>210</v>
      </c>
      <c r="S17" s="709">
        <v>561</v>
      </c>
      <c r="T17" s="709">
        <v>75</v>
      </c>
      <c r="U17" s="709">
        <v>498</v>
      </c>
      <c r="V17" s="709">
        <f>876.45-1</f>
        <v>875.45</v>
      </c>
      <c r="W17" s="709">
        <v>537</v>
      </c>
      <c r="X17" s="716">
        <f>225.1-37</f>
        <v>188.1</v>
      </c>
      <c r="Y17" s="709">
        <v>132</v>
      </c>
      <c r="Z17" s="709">
        <v>145</v>
      </c>
    </row>
    <row r="18" spans="1:26" s="697" customFormat="1" ht="13.5">
      <c r="A18" s="711">
        <v>4</v>
      </c>
      <c r="B18" s="712" t="s">
        <v>776</v>
      </c>
      <c r="C18" s="703">
        <f t="shared" si="5"/>
        <v>2239.1019999999999</v>
      </c>
      <c r="D18" s="704">
        <f t="shared" si="6"/>
        <v>710</v>
      </c>
      <c r="E18" s="713">
        <f>E19+E20+E21+E22+E23</f>
        <v>0</v>
      </c>
      <c r="F18" s="713">
        <f>F19+F20+F21+F22+F23</f>
        <v>0</v>
      </c>
      <c r="G18" s="713">
        <f>G19+G20+G21+G22+G23</f>
        <v>0</v>
      </c>
      <c r="H18" s="713">
        <f>SUM(H19:H23)</f>
        <v>710</v>
      </c>
      <c r="I18" s="714">
        <f>I19+I20+I21+I22+I23</f>
        <v>0</v>
      </c>
      <c r="J18" s="713">
        <f>J19+J20+J21+J22+J23</f>
        <v>0</v>
      </c>
      <c r="K18" s="714">
        <f>K19+K20+K21+K22+K23</f>
        <v>0</v>
      </c>
      <c r="L18" s="714">
        <f>L19+L20+L21+L22+L23</f>
        <v>0</v>
      </c>
      <c r="M18" s="714">
        <f>M19+M20+M21+M22+M23</f>
        <v>0</v>
      </c>
      <c r="N18" s="741">
        <f t="shared" si="1"/>
        <v>1529.1019999999999</v>
      </c>
      <c r="O18" s="713">
        <f>SUM(O19:O23)</f>
        <v>240.86999999999998</v>
      </c>
      <c r="P18" s="713">
        <f t="shared" ref="P18:Z18" si="9">SUM(P19:P23)</f>
        <v>176.01999999999998</v>
      </c>
      <c r="Q18" s="713">
        <v>78</v>
      </c>
      <c r="R18" s="713">
        <f t="shared" si="9"/>
        <v>85</v>
      </c>
      <c r="S18" s="713">
        <f t="shared" si="9"/>
        <v>172</v>
      </c>
      <c r="T18" s="713">
        <f t="shared" si="9"/>
        <v>66</v>
      </c>
      <c r="U18" s="713">
        <v>159</v>
      </c>
      <c r="V18" s="713">
        <f t="shared" si="9"/>
        <v>111.34200000000001</v>
      </c>
      <c r="W18" s="713">
        <f t="shared" si="9"/>
        <v>222</v>
      </c>
      <c r="X18" s="713">
        <f t="shared" si="9"/>
        <v>110.87</v>
      </c>
      <c r="Y18" s="713">
        <f t="shared" si="9"/>
        <v>38</v>
      </c>
      <c r="Z18" s="713">
        <f t="shared" si="9"/>
        <v>70</v>
      </c>
    </row>
    <row r="19" spans="1:26" s="697" customFormat="1" ht="13.5">
      <c r="A19" s="706" t="s">
        <v>806</v>
      </c>
      <c r="B19" s="715" t="s">
        <v>777</v>
      </c>
      <c r="C19" s="703">
        <f t="shared" si="5"/>
        <v>481.16</v>
      </c>
      <c r="D19" s="704">
        <f t="shared" si="6"/>
        <v>126</v>
      </c>
      <c r="E19" s="709">
        <v>0</v>
      </c>
      <c r="F19" s="709">
        <v>0</v>
      </c>
      <c r="G19" s="709">
        <v>0</v>
      </c>
      <c r="H19" s="709">
        <v>126</v>
      </c>
      <c r="I19" s="709">
        <v>0</v>
      </c>
      <c r="J19" s="709">
        <v>0</v>
      </c>
      <c r="K19" s="709">
        <v>0</v>
      </c>
      <c r="L19" s="709">
        <v>0</v>
      </c>
      <c r="M19" s="709">
        <v>0</v>
      </c>
      <c r="N19" s="741">
        <f t="shared" si="1"/>
        <v>355.16</v>
      </c>
      <c r="O19" s="709">
        <v>28.36</v>
      </c>
      <c r="P19" s="709">
        <v>36.519999999999996</v>
      </c>
      <c r="Q19" s="709">
        <v>22.979999999999997</v>
      </c>
      <c r="R19" s="709">
        <v>5</v>
      </c>
      <c r="S19" s="709">
        <v>92</v>
      </c>
      <c r="T19" s="709">
        <v>21</v>
      </c>
      <c r="U19" s="709">
        <v>19</v>
      </c>
      <c r="V19" s="709">
        <f>27-3</f>
        <v>24</v>
      </c>
      <c r="W19" s="709">
        <v>30</v>
      </c>
      <c r="X19" s="709">
        <f>50.3-24</f>
        <v>26.299999999999997</v>
      </c>
      <c r="Y19" s="709">
        <v>18</v>
      </c>
      <c r="Z19" s="709">
        <v>32</v>
      </c>
    </row>
    <row r="20" spans="1:26" s="697" customFormat="1" ht="13.5">
      <c r="A20" s="706" t="s">
        <v>807</v>
      </c>
      <c r="B20" s="712" t="s">
        <v>778</v>
      </c>
      <c r="C20" s="703">
        <f t="shared" si="5"/>
        <v>1066.1009999999999</v>
      </c>
      <c r="D20" s="704">
        <f t="shared" si="6"/>
        <v>435</v>
      </c>
      <c r="E20" s="717">
        <v>0</v>
      </c>
      <c r="F20" s="717">
        <v>0</v>
      </c>
      <c r="G20" s="717">
        <v>0</v>
      </c>
      <c r="H20" s="717">
        <v>435</v>
      </c>
      <c r="I20" s="718">
        <v>0</v>
      </c>
      <c r="J20" s="717">
        <v>0</v>
      </c>
      <c r="K20" s="718">
        <v>0</v>
      </c>
      <c r="L20" s="718">
        <v>0</v>
      </c>
      <c r="M20" s="718">
        <v>0</v>
      </c>
      <c r="N20" s="741">
        <f t="shared" si="1"/>
        <v>631.10099999999989</v>
      </c>
      <c r="O20" s="717">
        <v>123.09</v>
      </c>
      <c r="P20" s="717">
        <v>53.7</v>
      </c>
      <c r="Q20" s="717">
        <v>30.811</v>
      </c>
      <c r="R20" s="717">
        <v>42</v>
      </c>
      <c r="S20" s="717">
        <v>57</v>
      </c>
      <c r="T20" s="717">
        <v>9</v>
      </c>
      <c r="U20" s="717">
        <v>69</v>
      </c>
      <c r="V20" s="717">
        <f>50.2-12</f>
        <v>38.200000000000003</v>
      </c>
      <c r="W20" s="717">
        <v>156</v>
      </c>
      <c r="X20" s="717">
        <f>51.3-20</f>
        <v>31.299999999999997</v>
      </c>
      <c r="Y20" s="717">
        <v>8</v>
      </c>
      <c r="Z20" s="717">
        <v>13</v>
      </c>
    </row>
    <row r="21" spans="1:26" s="697" customFormat="1" ht="13.5">
      <c r="A21" s="706" t="s">
        <v>808</v>
      </c>
      <c r="B21" s="719" t="s">
        <v>779</v>
      </c>
      <c r="C21" s="703">
        <f t="shared" si="5"/>
        <v>160.38200000000001</v>
      </c>
      <c r="D21" s="704">
        <f t="shared" si="6"/>
        <v>0</v>
      </c>
      <c r="E21" s="709">
        <v>0</v>
      </c>
      <c r="F21" s="709">
        <v>0</v>
      </c>
      <c r="G21" s="709">
        <v>0</v>
      </c>
      <c r="H21" s="709">
        <v>0</v>
      </c>
      <c r="I21" s="709">
        <v>0</v>
      </c>
      <c r="J21" s="709">
        <v>0</v>
      </c>
      <c r="K21" s="709">
        <v>0</v>
      </c>
      <c r="L21" s="709">
        <v>0</v>
      </c>
      <c r="M21" s="709">
        <v>0</v>
      </c>
      <c r="N21" s="741">
        <f t="shared" si="1"/>
        <v>160.38200000000001</v>
      </c>
      <c r="O21" s="709">
        <v>5.63</v>
      </c>
      <c r="P21" s="709">
        <v>21.84</v>
      </c>
      <c r="Q21" s="709">
        <v>10</v>
      </c>
      <c r="R21" s="709">
        <v>15</v>
      </c>
      <c r="S21" s="709">
        <v>3</v>
      </c>
      <c r="T21" s="709">
        <v>16</v>
      </c>
      <c r="U21" s="709">
        <v>45</v>
      </c>
      <c r="V21" s="709">
        <f>17.742-4-3</f>
        <v>10.742000000000001</v>
      </c>
      <c r="W21" s="709">
        <v>10</v>
      </c>
      <c r="X21" s="709">
        <f>40.17-21</f>
        <v>19.170000000000002</v>
      </c>
      <c r="Y21" s="709">
        <v>0</v>
      </c>
      <c r="Z21" s="709">
        <v>4</v>
      </c>
    </row>
    <row r="22" spans="1:26" s="697" customFormat="1" ht="25.5">
      <c r="A22" s="708" t="s">
        <v>809</v>
      </c>
      <c r="B22" s="720" t="s">
        <v>24</v>
      </c>
      <c r="C22" s="703">
        <f t="shared" si="5"/>
        <v>241.209</v>
      </c>
      <c r="D22" s="704">
        <f t="shared" si="6"/>
        <v>86</v>
      </c>
      <c r="E22" s="709">
        <v>0</v>
      </c>
      <c r="F22" s="709">
        <v>0</v>
      </c>
      <c r="G22" s="709">
        <v>0</v>
      </c>
      <c r="H22" s="709">
        <v>86</v>
      </c>
      <c r="I22" s="709">
        <v>0</v>
      </c>
      <c r="J22" s="709">
        <v>0</v>
      </c>
      <c r="K22" s="709">
        <v>0</v>
      </c>
      <c r="L22" s="709">
        <v>0</v>
      </c>
      <c r="M22" s="709">
        <v>0</v>
      </c>
      <c r="N22" s="741">
        <f t="shared" si="1"/>
        <v>155.209</v>
      </c>
      <c r="O22" s="709">
        <v>41.95</v>
      </c>
      <c r="P22" s="709">
        <v>20.2</v>
      </c>
      <c r="Q22" s="709">
        <v>11.058999999999999</v>
      </c>
      <c r="R22" s="709">
        <v>9</v>
      </c>
      <c r="S22" s="709">
        <v>11</v>
      </c>
      <c r="T22" s="709">
        <v>8</v>
      </c>
      <c r="U22" s="709">
        <v>12</v>
      </c>
      <c r="V22" s="709">
        <f>18-3</f>
        <v>15</v>
      </c>
      <c r="W22" s="709">
        <v>13</v>
      </c>
      <c r="X22" s="709">
        <v>0</v>
      </c>
      <c r="Y22" s="709">
        <v>4</v>
      </c>
      <c r="Z22" s="709">
        <v>10</v>
      </c>
    </row>
    <row r="23" spans="1:26" s="697" customFormat="1" ht="13.5">
      <c r="A23" s="708" t="s">
        <v>810</v>
      </c>
      <c r="B23" s="720" t="s">
        <v>23</v>
      </c>
      <c r="C23" s="703">
        <f t="shared" si="5"/>
        <v>290.10000000000002</v>
      </c>
      <c r="D23" s="704">
        <f t="shared" si="6"/>
        <v>63</v>
      </c>
      <c r="E23" s="717">
        <v>0</v>
      </c>
      <c r="F23" s="717">
        <v>0</v>
      </c>
      <c r="G23" s="717">
        <v>0</v>
      </c>
      <c r="H23" s="717">
        <v>63</v>
      </c>
      <c r="I23" s="717">
        <v>0</v>
      </c>
      <c r="J23" s="717">
        <v>0</v>
      </c>
      <c r="K23" s="717">
        <v>0</v>
      </c>
      <c r="L23" s="717">
        <v>0</v>
      </c>
      <c r="M23" s="717">
        <v>0</v>
      </c>
      <c r="N23" s="741">
        <f t="shared" si="1"/>
        <v>227.1</v>
      </c>
      <c r="O23" s="717">
        <v>41.84</v>
      </c>
      <c r="P23" s="717">
        <v>43.76</v>
      </c>
      <c r="Q23" s="717">
        <v>3</v>
      </c>
      <c r="R23" s="717">
        <v>14</v>
      </c>
      <c r="S23" s="717">
        <v>9</v>
      </c>
      <c r="T23" s="717">
        <v>12</v>
      </c>
      <c r="U23" s="717">
        <v>14</v>
      </c>
      <c r="V23" s="717">
        <v>23.4</v>
      </c>
      <c r="W23" s="717">
        <v>13</v>
      </c>
      <c r="X23" s="717">
        <v>34.1</v>
      </c>
      <c r="Y23" s="717">
        <v>8</v>
      </c>
      <c r="Z23" s="717">
        <v>11</v>
      </c>
    </row>
    <row r="24" spans="1:26" s="697" customFormat="1" ht="13.5">
      <c r="A24" s="711">
        <v>5</v>
      </c>
      <c r="B24" s="712" t="s">
        <v>780</v>
      </c>
      <c r="C24" s="703">
        <f t="shared" si="5"/>
        <v>6478.335</v>
      </c>
      <c r="D24" s="704">
        <f t="shared" si="6"/>
        <v>5128</v>
      </c>
      <c r="E24" s="709">
        <v>0</v>
      </c>
      <c r="F24" s="709">
        <v>0</v>
      </c>
      <c r="G24" s="709">
        <v>0</v>
      </c>
      <c r="H24" s="709">
        <f>2587+2541</f>
        <v>5128</v>
      </c>
      <c r="I24" s="708">
        <v>0</v>
      </c>
      <c r="J24" s="709">
        <v>0</v>
      </c>
      <c r="K24" s="708">
        <v>0</v>
      </c>
      <c r="L24" s="708">
        <v>0</v>
      </c>
      <c r="M24" s="708">
        <v>0</v>
      </c>
      <c r="N24" s="741">
        <f t="shared" si="1"/>
        <v>1350.335</v>
      </c>
      <c r="O24" s="709">
        <v>97.92</v>
      </c>
      <c r="P24" s="709">
        <v>131.69999999999999</v>
      </c>
      <c r="Q24" s="709">
        <v>28.285</v>
      </c>
      <c r="R24" s="709">
        <v>197</v>
      </c>
      <c r="S24" s="709">
        <v>49</v>
      </c>
      <c r="T24" s="709">
        <v>16</v>
      </c>
      <c r="U24" s="709">
        <v>190</v>
      </c>
      <c r="V24" s="709">
        <f>173.43-5-2</f>
        <v>166.43</v>
      </c>
      <c r="W24" s="709">
        <v>375</v>
      </c>
      <c r="X24" s="716">
        <f>28-22</f>
        <v>6</v>
      </c>
      <c r="Y24" s="709">
        <v>19</v>
      </c>
      <c r="Z24" s="709">
        <v>74</v>
      </c>
    </row>
    <row r="25" spans="1:26" s="697" customFormat="1" ht="13.5">
      <c r="A25" s="711">
        <v>6</v>
      </c>
      <c r="B25" s="712" t="s">
        <v>781</v>
      </c>
      <c r="C25" s="703">
        <f t="shared" si="5"/>
        <v>3643.7139749999997</v>
      </c>
      <c r="D25" s="704">
        <f t="shared" si="6"/>
        <v>1043</v>
      </c>
      <c r="E25" s="709">
        <v>0</v>
      </c>
      <c r="F25" s="709">
        <v>0</v>
      </c>
      <c r="G25" s="709">
        <v>0</v>
      </c>
      <c r="H25" s="709">
        <v>1043</v>
      </c>
      <c r="I25" s="708">
        <v>0</v>
      </c>
      <c r="J25" s="709">
        <v>0</v>
      </c>
      <c r="K25" s="708">
        <v>0</v>
      </c>
      <c r="L25" s="708">
        <v>0</v>
      </c>
      <c r="M25" s="708">
        <v>0</v>
      </c>
      <c r="N25" s="741">
        <f t="shared" si="1"/>
        <v>2600.7139749999997</v>
      </c>
      <c r="O25" s="709">
        <v>980.18</v>
      </c>
      <c r="P25" s="709">
        <v>114</v>
      </c>
      <c r="Q25" s="709">
        <v>32</v>
      </c>
      <c r="R25" s="709">
        <v>124</v>
      </c>
      <c r="S25" s="709">
        <v>296</v>
      </c>
      <c r="T25" s="709">
        <v>39</v>
      </c>
      <c r="U25" s="709">
        <v>87.433975000000004</v>
      </c>
      <c r="V25" s="709">
        <f>192-11-17</f>
        <v>164</v>
      </c>
      <c r="W25" s="709">
        <v>316</v>
      </c>
      <c r="X25" s="716">
        <f>244.1-42</f>
        <v>202.1</v>
      </c>
      <c r="Y25" s="709">
        <v>132</v>
      </c>
      <c r="Z25" s="709">
        <v>114</v>
      </c>
    </row>
    <row r="26" spans="1:26" s="697" customFormat="1" ht="13.5">
      <c r="A26" s="711">
        <v>7</v>
      </c>
      <c r="B26" s="712" t="s">
        <v>782</v>
      </c>
      <c r="C26" s="703">
        <f t="shared" si="5"/>
        <v>1667.9889999999998</v>
      </c>
      <c r="D26" s="704">
        <f t="shared" si="6"/>
        <v>235</v>
      </c>
      <c r="E26" s="709">
        <v>0</v>
      </c>
      <c r="F26" s="709">
        <v>0</v>
      </c>
      <c r="G26" s="709">
        <v>0</v>
      </c>
      <c r="H26" s="709">
        <v>235</v>
      </c>
      <c r="I26" s="708">
        <v>0</v>
      </c>
      <c r="J26" s="709">
        <v>0</v>
      </c>
      <c r="K26" s="708">
        <v>0</v>
      </c>
      <c r="L26" s="708">
        <v>0</v>
      </c>
      <c r="M26" s="708">
        <v>0</v>
      </c>
      <c r="N26" s="741">
        <f t="shared" si="1"/>
        <v>1432.9889999999998</v>
      </c>
      <c r="O26" s="709">
        <v>210.65</v>
      </c>
      <c r="P26" s="709">
        <v>40.32</v>
      </c>
      <c r="Q26" s="709">
        <v>143.565</v>
      </c>
      <c r="R26" s="709">
        <v>56</v>
      </c>
      <c r="S26" s="709">
        <v>71</v>
      </c>
      <c r="T26" s="709">
        <v>49</v>
      </c>
      <c r="U26" s="709">
        <v>50</v>
      </c>
      <c r="V26" s="709">
        <f>34.884+44</f>
        <v>78.884</v>
      </c>
      <c r="W26" s="709">
        <v>555</v>
      </c>
      <c r="X26" s="716">
        <f>69.57-28</f>
        <v>41.569999999999993</v>
      </c>
      <c r="Y26" s="709">
        <v>74</v>
      </c>
      <c r="Z26" s="709">
        <v>63</v>
      </c>
    </row>
    <row r="27" spans="1:26" s="697" customFormat="1" ht="13.5">
      <c r="A27" s="721">
        <v>8</v>
      </c>
      <c r="B27" s="722" t="s">
        <v>783</v>
      </c>
      <c r="C27" s="703">
        <f t="shared" si="5"/>
        <v>638.33799999999997</v>
      </c>
      <c r="D27" s="704">
        <f t="shared" si="6"/>
        <v>130</v>
      </c>
      <c r="E27" s="709">
        <v>0</v>
      </c>
      <c r="F27" s="709">
        <v>0</v>
      </c>
      <c r="G27" s="709">
        <v>0</v>
      </c>
      <c r="H27" s="709">
        <v>130</v>
      </c>
      <c r="I27" s="709">
        <v>0</v>
      </c>
      <c r="J27" s="709">
        <v>0</v>
      </c>
      <c r="K27" s="709">
        <v>0</v>
      </c>
      <c r="L27" s="709">
        <v>0</v>
      </c>
      <c r="M27" s="709">
        <v>0</v>
      </c>
      <c r="N27" s="741">
        <f t="shared" si="1"/>
        <v>508.33800000000002</v>
      </c>
      <c r="O27" s="709">
        <v>21.85</v>
      </c>
      <c r="P27" s="709">
        <v>64.72</v>
      </c>
      <c r="Q27" s="709">
        <v>75.98</v>
      </c>
      <c r="R27" s="709">
        <v>7</v>
      </c>
      <c r="S27" s="709">
        <v>31</v>
      </c>
      <c r="T27" s="709">
        <v>10</v>
      </c>
      <c r="U27" s="709">
        <v>86</v>
      </c>
      <c r="V27" s="709">
        <f>62.57-11-7</f>
        <v>44.57</v>
      </c>
      <c r="W27" s="709">
        <v>25</v>
      </c>
      <c r="X27" s="716">
        <f>102.218-24</f>
        <v>78.218000000000004</v>
      </c>
      <c r="Y27" s="709">
        <v>52</v>
      </c>
      <c r="Z27" s="709">
        <v>12</v>
      </c>
    </row>
    <row r="28" spans="1:26" s="697" customFormat="1" ht="13.5">
      <c r="A28" s="708">
        <v>9</v>
      </c>
      <c r="B28" s="709" t="s">
        <v>784</v>
      </c>
      <c r="C28" s="703">
        <f t="shared" si="5"/>
        <v>779.88199999999995</v>
      </c>
      <c r="D28" s="704">
        <f t="shared" si="6"/>
        <v>197</v>
      </c>
      <c r="E28" s="717">
        <v>0</v>
      </c>
      <c r="F28" s="717">
        <v>0</v>
      </c>
      <c r="G28" s="717">
        <v>0</v>
      </c>
      <c r="H28" s="717">
        <v>0</v>
      </c>
      <c r="I28" s="717">
        <v>0</v>
      </c>
      <c r="J28" s="717">
        <v>197</v>
      </c>
      <c r="K28" s="717">
        <v>0</v>
      </c>
      <c r="L28" s="717">
        <v>0</v>
      </c>
      <c r="M28" s="717">
        <v>0</v>
      </c>
      <c r="N28" s="741">
        <f t="shared" si="1"/>
        <v>582.88199999999995</v>
      </c>
      <c r="O28" s="717">
        <v>190.45100000000002</v>
      </c>
      <c r="P28" s="717">
        <v>15.2</v>
      </c>
      <c r="Q28" s="717">
        <v>9.6940000000000008</v>
      </c>
      <c r="R28" s="717">
        <v>148.6</v>
      </c>
      <c r="S28" s="717">
        <v>27.310000000000002</v>
      </c>
      <c r="T28" s="717">
        <v>34.286000000000001</v>
      </c>
      <c r="U28" s="717">
        <v>47.598999999999997</v>
      </c>
      <c r="V28" s="717">
        <v>13.38</v>
      </c>
      <c r="W28" s="717">
        <v>28.612000000000002</v>
      </c>
      <c r="X28" s="723">
        <v>36.43</v>
      </c>
      <c r="Y28" s="717">
        <v>9.9600000000000009</v>
      </c>
      <c r="Z28" s="717">
        <v>21.36</v>
      </c>
    </row>
    <row r="29" spans="1:26" s="697" customFormat="1" ht="13.5">
      <c r="A29" s="721">
        <v>10</v>
      </c>
      <c r="B29" s="709" t="s">
        <v>785</v>
      </c>
      <c r="C29" s="703">
        <f t="shared" si="5"/>
        <v>505.87900000000002</v>
      </c>
      <c r="D29" s="704">
        <f t="shared" si="6"/>
        <v>140</v>
      </c>
      <c r="E29" s="724"/>
      <c r="F29" s="724"/>
      <c r="G29" s="724"/>
      <c r="H29" s="724">
        <v>140</v>
      </c>
      <c r="I29" s="724"/>
      <c r="J29" s="724"/>
      <c r="K29" s="724"/>
      <c r="L29" s="724"/>
      <c r="M29" s="724"/>
      <c r="N29" s="741">
        <f t="shared" si="1"/>
        <v>365.87900000000002</v>
      </c>
      <c r="O29" s="724">
        <v>16.16</v>
      </c>
      <c r="P29" s="724">
        <v>7.359</v>
      </c>
      <c r="Q29" s="724">
        <v>27.08</v>
      </c>
      <c r="R29" s="724">
        <v>42</v>
      </c>
      <c r="S29" s="724">
        <v>38</v>
      </c>
      <c r="T29" s="725">
        <v>15</v>
      </c>
      <c r="U29" s="724">
        <v>22</v>
      </c>
      <c r="V29" s="724">
        <f>43.28-12</f>
        <v>31.28</v>
      </c>
      <c r="W29" s="724">
        <v>18</v>
      </c>
      <c r="X29" s="726">
        <v>73</v>
      </c>
      <c r="Y29" s="724">
        <v>62</v>
      </c>
      <c r="Z29" s="724">
        <v>14</v>
      </c>
    </row>
    <row r="30" spans="1:26" s="697" customFormat="1" ht="13.5">
      <c r="A30" s="708">
        <v>11</v>
      </c>
      <c r="B30" s="709" t="s">
        <v>786</v>
      </c>
      <c r="C30" s="703">
        <f t="shared" si="5"/>
        <v>3712.1660000000002</v>
      </c>
      <c r="D30" s="704">
        <f t="shared" si="6"/>
        <v>1143</v>
      </c>
      <c r="E30" s="709">
        <v>0</v>
      </c>
      <c r="F30" s="709">
        <v>0</v>
      </c>
      <c r="G30" s="709">
        <v>0</v>
      </c>
      <c r="H30" s="709">
        <v>1143</v>
      </c>
      <c r="I30" s="709">
        <v>0</v>
      </c>
      <c r="J30" s="709">
        <v>0</v>
      </c>
      <c r="K30" s="709">
        <v>0</v>
      </c>
      <c r="L30" s="709">
        <v>0</v>
      </c>
      <c r="M30" s="709">
        <v>0</v>
      </c>
      <c r="N30" s="741">
        <f t="shared" si="1"/>
        <v>2569.1660000000002</v>
      </c>
      <c r="O30" s="709">
        <v>96.06</v>
      </c>
      <c r="P30" s="709">
        <v>100</v>
      </c>
      <c r="Q30" s="709">
        <v>212.30199999999999</v>
      </c>
      <c r="R30" s="709">
        <v>278</v>
      </c>
      <c r="S30" s="709">
        <v>123</v>
      </c>
      <c r="T30" s="709">
        <v>114</v>
      </c>
      <c r="U30" s="709">
        <v>575</v>
      </c>
      <c r="V30" s="709">
        <f>168.924-26-9</f>
        <v>133.92400000000001</v>
      </c>
      <c r="W30" s="709">
        <v>530</v>
      </c>
      <c r="X30" s="716">
        <f>190.88-18</f>
        <v>172.88</v>
      </c>
      <c r="Y30" s="709">
        <v>155</v>
      </c>
      <c r="Z30" s="709">
        <v>79</v>
      </c>
    </row>
    <row r="31" spans="1:26" s="697" customFormat="1" ht="25.5">
      <c r="A31" s="721">
        <v>12</v>
      </c>
      <c r="B31" s="727" t="s">
        <v>787</v>
      </c>
      <c r="C31" s="703">
        <f t="shared" si="5"/>
        <v>477.459</v>
      </c>
      <c r="D31" s="704">
        <f t="shared" si="6"/>
        <v>250</v>
      </c>
      <c r="E31" s="724"/>
      <c r="F31" s="724"/>
      <c r="G31" s="724"/>
      <c r="H31" s="724">
        <v>250</v>
      </c>
      <c r="I31" s="724"/>
      <c r="J31" s="724"/>
      <c r="K31" s="724"/>
      <c r="L31" s="724"/>
      <c r="M31" s="724"/>
      <c r="N31" s="741">
        <f t="shared" si="1"/>
        <v>227.459</v>
      </c>
      <c r="O31" s="724">
        <v>18.03</v>
      </c>
      <c r="P31" s="724">
        <v>18.305</v>
      </c>
      <c r="Q31" s="724">
        <v>29.213999999999999</v>
      </c>
      <c r="R31" s="724">
        <v>29</v>
      </c>
      <c r="S31" s="724">
        <v>9</v>
      </c>
      <c r="T31" s="725">
        <v>16</v>
      </c>
      <c r="U31" s="724">
        <v>31</v>
      </c>
      <c r="V31" s="724">
        <f>49.96-14-12</f>
        <v>23.96</v>
      </c>
      <c r="W31" s="724">
        <v>2</v>
      </c>
      <c r="X31" s="726">
        <v>34.950000000000003</v>
      </c>
      <c r="Y31" s="724">
        <v>10</v>
      </c>
      <c r="Z31" s="724">
        <v>6</v>
      </c>
    </row>
    <row r="32" spans="1:26" s="697" customFormat="1" ht="13.5">
      <c r="A32" s="708">
        <v>13</v>
      </c>
      <c r="B32" s="709" t="s">
        <v>33</v>
      </c>
      <c r="C32" s="703">
        <f t="shared" si="5"/>
        <v>561.68799999999999</v>
      </c>
      <c r="D32" s="704">
        <f t="shared" si="6"/>
        <v>90</v>
      </c>
      <c r="E32" s="709"/>
      <c r="F32" s="709"/>
      <c r="G32" s="709"/>
      <c r="H32" s="709">
        <v>90</v>
      </c>
      <c r="I32" s="709"/>
      <c r="J32" s="709"/>
      <c r="K32" s="709"/>
      <c r="L32" s="709"/>
      <c r="M32" s="709"/>
      <c r="N32" s="741">
        <f t="shared" si="1"/>
        <v>471.68799999999999</v>
      </c>
      <c r="O32" s="709">
        <v>12.04</v>
      </c>
      <c r="P32" s="709">
        <v>73.614999999999995</v>
      </c>
      <c r="Q32" s="709">
        <v>56.863</v>
      </c>
      <c r="R32" s="709">
        <v>44</v>
      </c>
      <c r="S32" s="709">
        <v>7</v>
      </c>
      <c r="T32" s="709">
        <v>10</v>
      </c>
      <c r="U32" s="709">
        <v>10</v>
      </c>
      <c r="V32" s="709">
        <f>47-3-12</f>
        <v>32</v>
      </c>
      <c r="W32" s="709">
        <v>10</v>
      </c>
      <c r="X32" s="716">
        <v>117.17</v>
      </c>
      <c r="Y32" s="709">
        <v>73</v>
      </c>
      <c r="Z32" s="709">
        <v>26</v>
      </c>
    </row>
    <row r="33" spans="1:26" s="697" customFormat="1" ht="13.5">
      <c r="A33" s="721">
        <v>14</v>
      </c>
      <c r="B33" s="709" t="s">
        <v>788</v>
      </c>
      <c r="C33" s="703">
        <f t="shared" si="5"/>
        <v>3831</v>
      </c>
      <c r="D33" s="704">
        <f t="shared" si="6"/>
        <v>3120</v>
      </c>
      <c r="E33" s="709">
        <v>0</v>
      </c>
      <c r="F33" s="709">
        <v>2680</v>
      </c>
      <c r="G33" s="709">
        <v>0</v>
      </c>
      <c r="H33" s="709">
        <v>440</v>
      </c>
      <c r="I33" s="709">
        <v>0</v>
      </c>
      <c r="J33" s="709">
        <v>0</v>
      </c>
      <c r="K33" s="709">
        <v>0</v>
      </c>
      <c r="L33" s="709">
        <v>0</v>
      </c>
      <c r="M33" s="709">
        <v>0</v>
      </c>
      <c r="N33" s="741">
        <f t="shared" si="1"/>
        <v>711</v>
      </c>
      <c r="O33" s="709">
        <v>178</v>
      </c>
      <c r="P33" s="709">
        <v>155</v>
      </c>
      <c r="Q33" s="709">
        <v>9</v>
      </c>
      <c r="R33" s="709">
        <v>38</v>
      </c>
      <c r="S33" s="709">
        <v>51</v>
      </c>
      <c r="T33" s="709">
        <v>20</v>
      </c>
      <c r="U33" s="709">
        <v>3</v>
      </c>
      <c r="V33" s="709">
        <v>89</v>
      </c>
      <c r="W33" s="709">
        <v>46</v>
      </c>
      <c r="X33" s="716">
        <v>34</v>
      </c>
      <c r="Y33" s="709">
        <v>61</v>
      </c>
      <c r="Z33" s="709">
        <v>27</v>
      </c>
    </row>
    <row r="34" spans="1:26" s="697" customFormat="1" ht="13.5">
      <c r="A34" s="708">
        <v>15</v>
      </c>
      <c r="B34" s="709" t="s">
        <v>789</v>
      </c>
      <c r="C34" s="703">
        <f t="shared" si="5"/>
        <v>120</v>
      </c>
      <c r="D34" s="704">
        <f t="shared" si="6"/>
        <v>120</v>
      </c>
      <c r="E34" s="717">
        <v>120</v>
      </c>
      <c r="F34" s="717">
        <v>0</v>
      </c>
      <c r="G34" s="717">
        <v>0</v>
      </c>
      <c r="H34" s="717">
        <v>0</v>
      </c>
      <c r="I34" s="717">
        <v>0</v>
      </c>
      <c r="J34" s="717">
        <v>0</v>
      </c>
      <c r="K34" s="717">
        <v>0</v>
      </c>
      <c r="L34" s="717">
        <v>0</v>
      </c>
      <c r="M34" s="717"/>
      <c r="N34" s="741">
        <f t="shared" si="1"/>
        <v>0</v>
      </c>
      <c r="O34" s="717">
        <v>0</v>
      </c>
      <c r="P34" s="717">
        <v>0</v>
      </c>
      <c r="Q34" s="717">
        <v>0</v>
      </c>
      <c r="R34" s="717">
        <v>0</v>
      </c>
      <c r="S34" s="717">
        <v>0</v>
      </c>
      <c r="T34" s="717">
        <v>0</v>
      </c>
      <c r="U34" s="717">
        <v>0</v>
      </c>
      <c r="V34" s="717"/>
      <c r="W34" s="717">
        <v>0</v>
      </c>
      <c r="X34" s="723">
        <v>0</v>
      </c>
      <c r="Y34" s="717">
        <v>0</v>
      </c>
      <c r="Z34" s="709"/>
    </row>
    <row r="35" spans="1:26" s="697" customFormat="1" ht="13.5">
      <c r="A35" s="721">
        <v>16</v>
      </c>
      <c r="B35" s="709" t="s">
        <v>790</v>
      </c>
      <c r="C35" s="703">
        <f t="shared" si="5"/>
        <v>100</v>
      </c>
      <c r="D35" s="704">
        <f t="shared" si="6"/>
        <v>100</v>
      </c>
      <c r="E35" s="709">
        <v>100</v>
      </c>
      <c r="F35" s="709">
        <v>0</v>
      </c>
      <c r="G35" s="709"/>
      <c r="H35" s="709">
        <v>0</v>
      </c>
      <c r="I35" s="709">
        <v>0</v>
      </c>
      <c r="J35" s="709">
        <v>0</v>
      </c>
      <c r="K35" s="709">
        <v>0</v>
      </c>
      <c r="L35" s="709">
        <v>0</v>
      </c>
      <c r="M35" s="709">
        <v>0</v>
      </c>
      <c r="N35" s="741">
        <f t="shared" si="1"/>
        <v>0</v>
      </c>
      <c r="O35" s="709"/>
      <c r="P35" s="709"/>
      <c r="Q35" s="709"/>
      <c r="R35" s="709"/>
      <c r="S35" s="709"/>
      <c r="T35" s="709"/>
      <c r="U35" s="709"/>
      <c r="V35" s="709"/>
      <c r="W35" s="709"/>
      <c r="X35" s="716"/>
      <c r="Y35" s="709"/>
      <c r="Z35" s="709"/>
    </row>
    <row r="36" spans="1:26" s="697" customFormat="1" ht="13.5">
      <c r="A36" s="708">
        <v>17</v>
      </c>
      <c r="B36" s="728" t="s">
        <v>791</v>
      </c>
      <c r="C36" s="703">
        <f t="shared" si="5"/>
        <v>100</v>
      </c>
      <c r="D36" s="704">
        <f t="shared" si="6"/>
        <v>100</v>
      </c>
      <c r="E36" s="729"/>
      <c r="F36" s="729"/>
      <c r="G36" s="729"/>
      <c r="H36" s="729">
        <v>100</v>
      </c>
      <c r="I36" s="730"/>
      <c r="J36" s="729"/>
      <c r="K36" s="730"/>
      <c r="L36" s="730"/>
      <c r="M36" s="730"/>
      <c r="N36" s="741">
        <f t="shared" si="1"/>
        <v>0</v>
      </c>
      <c r="O36" s="729"/>
      <c r="P36" s="729"/>
      <c r="Q36" s="729"/>
      <c r="R36" s="729"/>
      <c r="S36" s="729"/>
      <c r="T36" s="729"/>
      <c r="U36" s="729"/>
      <c r="V36" s="729"/>
      <c r="W36" s="729"/>
      <c r="X36" s="731"/>
      <c r="Y36" s="729"/>
      <c r="Z36" s="729"/>
    </row>
    <row r="37" spans="1:26" s="697" customFormat="1" ht="13.5">
      <c r="A37" s="721">
        <v>18</v>
      </c>
      <c r="B37" s="709" t="s">
        <v>559</v>
      </c>
      <c r="C37" s="703">
        <f>D37+N37</f>
        <v>14090</v>
      </c>
      <c r="D37" s="704">
        <f t="shared" si="6"/>
        <v>6025</v>
      </c>
      <c r="E37" s="709">
        <v>0</v>
      </c>
      <c r="F37" s="709">
        <v>0</v>
      </c>
      <c r="G37" s="709">
        <f>G38</f>
        <v>6025</v>
      </c>
      <c r="H37" s="709">
        <v>0</v>
      </c>
      <c r="I37" s="709">
        <v>0</v>
      </c>
      <c r="J37" s="709">
        <v>0</v>
      </c>
      <c r="K37" s="709">
        <v>0</v>
      </c>
      <c r="L37" s="709">
        <v>0</v>
      </c>
      <c r="M37" s="709">
        <v>0</v>
      </c>
      <c r="N37" s="741">
        <f t="shared" si="1"/>
        <v>8065</v>
      </c>
      <c r="O37" s="709">
        <f>O38+O39+O40</f>
        <v>856</v>
      </c>
      <c r="P37" s="709">
        <f t="shared" ref="P37:Z37" si="10">P38+P39+P40</f>
        <v>231</v>
      </c>
      <c r="Q37" s="709">
        <f t="shared" si="10"/>
        <v>637</v>
      </c>
      <c r="R37" s="709">
        <f t="shared" si="10"/>
        <v>1164</v>
      </c>
      <c r="S37" s="709">
        <f t="shared" si="10"/>
        <v>899</v>
      </c>
      <c r="T37" s="709">
        <f t="shared" si="10"/>
        <v>521</v>
      </c>
      <c r="U37" s="709">
        <v>1088</v>
      </c>
      <c r="V37" s="709">
        <f t="shared" si="10"/>
        <v>726</v>
      </c>
      <c r="W37" s="709">
        <f t="shared" si="10"/>
        <v>725</v>
      </c>
      <c r="X37" s="709">
        <f t="shared" si="10"/>
        <v>348</v>
      </c>
      <c r="Y37" s="709">
        <f t="shared" si="10"/>
        <v>485</v>
      </c>
      <c r="Z37" s="709">
        <f t="shared" si="10"/>
        <v>385</v>
      </c>
    </row>
    <row r="38" spans="1:26" s="697" customFormat="1" ht="13.5">
      <c r="A38" s="708" t="s">
        <v>806</v>
      </c>
      <c r="B38" s="732" t="s">
        <v>792</v>
      </c>
      <c r="C38" s="703"/>
      <c r="D38" s="704">
        <f t="shared" si="6"/>
        <v>6025</v>
      </c>
      <c r="E38" s="732"/>
      <c r="F38" s="732"/>
      <c r="G38" s="732">
        <v>6025</v>
      </c>
      <c r="H38" s="732"/>
      <c r="I38" s="709"/>
      <c r="J38" s="732"/>
      <c r="K38" s="709"/>
      <c r="L38" s="709"/>
      <c r="M38" s="709"/>
      <c r="N38" s="741">
        <f t="shared" si="1"/>
        <v>3448</v>
      </c>
      <c r="O38" s="732">
        <v>316</v>
      </c>
      <c r="P38" s="732">
        <v>153</v>
      </c>
      <c r="Q38" s="732">
        <v>286</v>
      </c>
      <c r="R38" s="732">
        <v>546</v>
      </c>
      <c r="S38" s="732">
        <v>338</v>
      </c>
      <c r="T38" s="732">
        <v>294</v>
      </c>
      <c r="U38" s="732">
        <v>447</v>
      </c>
      <c r="V38" s="732">
        <v>217</v>
      </c>
      <c r="W38" s="732">
        <v>230</v>
      </c>
      <c r="X38" s="732">
        <v>179</v>
      </c>
      <c r="Y38" s="732">
        <v>262</v>
      </c>
      <c r="Z38" s="732">
        <v>180</v>
      </c>
    </row>
    <row r="39" spans="1:26" s="697" customFormat="1" ht="25.5">
      <c r="A39" s="708" t="s">
        <v>807</v>
      </c>
      <c r="B39" s="733" t="s">
        <v>793</v>
      </c>
      <c r="C39" s="703"/>
      <c r="D39" s="704">
        <f t="shared" si="6"/>
        <v>0</v>
      </c>
      <c r="E39" s="732"/>
      <c r="F39" s="732"/>
      <c r="G39" s="732"/>
      <c r="H39" s="732"/>
      <c r="I39" s="709"/>
      <c r="J39" s="732"/>
      <c r="K39" s="709"/>
      <c r="L39" s="709"/>
      <c r="M39" s="709"/>
      <c r="N39" s="741">
        <f t="shared" si="1"/>
        <v>4477</v>
      </c>
      <c r="O39" s="734">
        <v>540</v>
      </c>
      <c r="P39" s="734">
        <v>68</v>
      </c>
      <c r="Q39" s="734">
        <v>321</v>
      </c>
      <c r="R39" s="734">
        <v>598</v>
      </c>
      <c r="S39" s="734">
        <v>531</v>
      </c>
      <c r="T39" s="734">
        <v>197</v>
      </c>
      <c r="U39" s="734">
        <v>621</v>
      </c>
      <c r="V39" s="734">
        <v>509</v>
      </c>
      <c r="W39" s="734">
        <v>495</v>
      </c>
      <c r="X39" s="734">
        <v>169</v>
      </c>
      <c r="Y39" s="734">
        <v>223</v>
      </c>
      <c r="Z39" s="734">
        <v>205</v>
      </c>
    </row>
    <row r="40" spans="1:26" s="697" customFormat="1" ht="38.25">
      <c r="A40" s="708" t="s">
        <v>808</v>
      </c>
      <c r="B40" s="733" t="s">
        <v>156</v>
      </c>
      <c r="C40" s="703"/>
      <c r="D40" s="704">
        <f t="shared" si="6"/>
        <v>0</v>
      </c>
      <c r="E40" s="732"/>
      <c r="F40" s="732"/>
      <c r="G40" s="732"/>
      <c r="H40" s="732"/>
      <c r="I40" s="709"/>
      <c r="J40" s="732"/>
      <c r="K40" s="709"/>
      <c r="L40" s="709"/>
      <c r="M40" s="709"/>
      <c r="N40" s="741">
        <f t="shared" si="1"/>
        <v>140</v>
      </c>
      <c r="O40" s="732">
        <v>0</v>
      </c>
      <c r="P40" s="732">
        <v>10</v>
      </c>
      <c r="Q40" s="732">
        <v>30</v>
      </c>
      <c r="R40" s="732">
        <v>20</v>
      </c>
      <c r="S40" s="732">
        <v>30</v>
      </c>
      <c r="T40" s="732">
        <v>30</v>
      </c>
      <c r="U40" s="732">
        <v>20</v>
      </c>
      <c r="V40" s="732">
        <v>0</v>
      </c>
      <c r="W40" s="732">
        <v>0</v>
      </c>
      <c r="X40" s="735">
        <v>0</v>
      </c>
      <c r="Y40" s="732">
        <v>0</v>
      </c>
      <c r="Z40" s="732">
        <v>0</v>
      </c>
    </row>
    <row r="41" spans="1:26" s="697" customFormat="1" ht="13.5">
      <c r="A41" s="708">
        <v>19</v>
      </c>
      <c r="B41" s="709" t="s">
        <v>794</v>
      </c>
      <c r="C41" s="703">
        <f t="shared" si="5"/>
        <v>6535.1710000000003</v>
      </c>
      <c r="D41" s="704">
        <f t="shared" si="6"/>
        <v>1963</v>
      </c>
      <c r="E41" s="716">
        <f>SUM(E42:E45)</f>
        <v>40</v>
      </c>
      <c r="F41" s="716">
        <f>SUM(F42:F45)</f>
        <v>405</v>
      </c>
      <c r="G41" s="716">
        <f>SUM(G42:G45)</f>
        <v>574</v>
      </c>
      <c r="H41" s="716">
        <f>SUM(H42:H45)</f>
        <v>944</v>
      </c>
      <c r="I41" s="709">
        <v>0</v>
      </c>
      <c r="J41" s="716">
        <f>SUM(J42:J45)</f>
        <v>0</v>
      </c>
      <c r="K41" s="709">
        <v>0</v>
      </c>
      <c r="L41" s="709">
        <v>0</v>
      </c>
      <c r="M41" s="709">
        <v>0</v>
      </c>
      <c r="N41" s="741">
        <f t="shared" si="1"/>
        <v>4572.1710000000003</v>
      </c>
      <c r="O41" s="716">
        <f t="shared" ref="O41:T41" si="11">SUM(O42:O45)</f>
        <v>850.09099999999989</v>
      </c>
      <c r="P41" s="716">
        <f t="shared" si="11"/>
        <v>55</v>
      </c>
      <c r="Q41" s="716">
        <f t="shared" si="11"/>
        <v>218</v>
      </c>
      <c r="R41" s="716">
        <f t="shared" si="11"/>
        <v>561.20000000000005</v>
      </c>
      <c r="S41" s="716">
        <f t="shared" si="11"/>
        <v>403.88</v>
      </c>
      <c r="T41" s="716">
        <f t="shared" si="11"/>
        <v>201.7</v>
      </c>
      <c r="U41" s="716">
        <v>385.78</v>
      </c>
      <c r="V41" s="716">
        <f>SUM(V42:V45)</f>
        <v>290</v>
      </c>
      <c r="W41" s="716">
        <f>SUM(W42:W45)</f>
        <v>488.52</v>
      </c>
      <c r="X41" s="716">
        <f>SUM(X42:X45)</f>
        <v>235</v>
      </c>
      <c r="Y41" s="716">
        <f>SUM(Y42:Y45)</f>
        <v>470</v>
      </c>
      <c r="Z41" s="716">
        <f>SUM(Z42:Z45)</f>
        <v>413</v>
      </c>
    </row>
    <row r="42" spans="1:26" s="697" customFormat="1" ht="25.5">
      <c r="A42" s="708" t="s">
        <v>806</v>
      </c>
      <c r="B42" s="727" t="s">
        <v>795</v>
      </c>
      <c r="C42" s="736">
        <f t="shared" si="5"/>
        <v>4625.0509999999995</v>
      </c>
      <c r="D42" s="704">
        <f t="shared" si="6"/>
        <v>944</v>
      </c>
      <c r="E42" s="709"/>
      <c r="F42" s="709"/>
      <c r="G42" s="709"/>
      <c r="H42" s="709">
        <f>1355-411</f>
        <v>944</v>
      </c>
      <c r="I42" s="709"/>
      <c r="J42" s="709"/>
      <c r="K42" s="709"/>
      <c r="L42" s="709"/>
      <c r="M42" s="709"/>
      <c r="N42" s="741">
        <f t="shared" si="1"/>
        <v>3681.0509999999999</v>
      </c>
      <c r="O42" s="709">
        <v>532.05099999999993</v>
      </c>
      <c r="P42" s="709"/>
      <c r="Q42" s="709">
        <v>167</v>
      </c>
      <c r="R42" s="709">
        <v>538</v>
      </c>
      <c r="S42" s="709">
        <v>324</v>
      </c>
      <c r="T42" s="709">
        <v>137</v>
      </c>
      <c r="U42" s="709">
        <v>333</v>
      </c>
      <c r="V42" s="709">
        <v>264</v>
      </c>
      <c r="W42" s="709">
        <v>445</v>
      </c>
      <c r="X42" s="716">
        <v>208</v>
      </c>
      <c r="Y42" s="709">
        <v>396</v>
      </c>
      <c r="Z42" s="709">
        <v>337</v>
      </c>
    </row>
    <row r="43" spans="1:26" s="697" customFormat="1" ht="13.5">
      <c r="A43" s="708" t="s">
        <v>807</v>
      </c>
      <c r="B43" s="727" t="s">
        <v>796</v>
      </c>
      <c r="C43" s="736">
        <f t="shared" si="5"/>
        <v>1050</v>
      </c>
      <c r="D43" s="704">
        <f t="shared" si="6"/>
        <v>405</v>
      </c>
      <c r="E43" s="709"/>
      <c r="F43" s="709">
        <v>405</v>
      </c>
      <c r="G43" s="709"/>
      <c r="H43" s="709"/>
      <c r="I43" s="709"/>
      <c r="J43" s="709"/>
      <c r="K43" s="709"/>
      <c r="L43" s="709"/>
      <c r="M43" s="709"/>
      <c r="N43" s="741">
        <f t="shared" si="1"/>
        <v>645</v>
      </c>
      <c r="O43" s="709">
        <v>262</v>
      </c>
      <c r="P43" s="709">
        <v>43</v>
      </c>
      <c r="Q43" s="709">
        <v>41</v>
      </c>
      <c r="R43" s="709">
        <v>5</v>
      </c>
      <c r="S43" s="709">
        <v>31</v>
      </c>
      <c r="T43" s="709">
        <v>40</v>
      </c>
      <c r="U43" s="709">
        <v>33</v>
      </c>
      <c r="V43" s="709">
        <v>16</v>
      </c>
      <c r="W43" s="709">
        <v>30</v>
      </c>
      <c r="X43" s="709">
        <v>17</v>
      </c>
      <c r="Y43" s="709">
        <v>61</v>
      </c>
      <c r="Z43" s="709">
        <v>66</v>
      </c>
    </row>
    <row r="44" spans="1:26" s="697" customFormat="1" ht="25.5">
      <c r="A44" s="708" t="s">
        <v>808</v>
      </c>
      <c r="B44" s="727" t="s">
        <v>797</v>
      </c>
      <c r="C44" s="736">
        <f t="shared" si="5"/>
        <v>759</v>
      </c>
      <c r="D44" s="704">
        <f t="shared" si="6"/>
        <v>574</v>
      </c>
      <c r="E44" s="709"/>
      <c r="F44" s="709"/>
      <c r="G44" s="709">
        <v>574</v>
      </c>
      <c r="H44" s="709"/>
      <c r="I44" s="709"/>
      <c r="J44" s="709"/>
      <c r="K44" s="709"/>
      <c r="L44" s="709"/>
      <c r="M44" s="709"/>
      <c r="N44" s="741">
        <f t="shared" si="1"/>
        <v>185</v>
      </c>
      <c r="O44" s="709">
        <v>35</v>
      </c>
      <c r="P44" s="709">
        <v>8</v>
      </c>
      <c r="Q44" s="709">
        <v>10</v>
      </c>
      <c r="R44" s="709">
        <v>11</v>
      </c>
      <c r="S44" s="709">
        <v>46</v>
      </c>
      <c r="T44" s="709">
        <v>9</v>
      </c>
      <c r="U44" s="709">
        <v>12</v>
      </c>
      <c r="V44" s="709">
        <v>10</v>
      </c>
      <c r="W44" s="709">
        <v>11</v>
      </c>
      <c r="X44" s="716">
        <v>10</v>
      </c>
      <c r="Y44" s="709">
        <v>13</v>
      </c>
      <c r="Z44" s="709">
        <v>10</v>
      </c>
    </row>
    <row r="45" spans="1:26" s="697" customFormat="1" ht="38.25">
      <c r="A45" s="708" t="s">
        <v>809</v>
      </c>
      <c r="B45" s="727" t="s">
        <v>798</v>
      </c>
      <c r="C45" s="736">
        <f t="shared" si="5"/>
        <v>101.12</v>
      </c>
      <c r="D45" s="704">
        <f t="shared" si="6"/>
        <v>40</v>
      </c>
      <c r="E45" s="709">
        <v>40</v>
      </c>
      <c r="F45" s="709"/>
      <c r="G45" s="709"/>
      <c r="H45" s="709"/>
      <c r="I45" s="709"/>
      <c r="J45" s="709"/>
      <c r="K45" s="709"/>
      <c r="L45" s="709"/>
      <c r="M45" s="709"/>
      <c r="N45" s="741">
        <f t="shared" si="1"/>
        <v>61.120000000000012</v>
      </c>
      <c r="O45" s="709">
        <v>21.04</v>
      </c>
      <c r="P45" s="709">
        <v>4</v>
      </c>
      <c r="Q45" s="709">
        <v>0</v>
      </c>
      <c r="R45" s="709">
        <v>7.2</v>
      </c>
      <c r="S45" s="709">
        <v>2.88</v>
      </c>
      <c r="T45" s="709">
        <v>15.7</v>
      </c>
      <c r="U45" s="709">
        <v>7.78</v>
      </c>
      <c r="V45" s="709">
        <v>0</v>
      </c>
      <c r="W45" s="709">
        <v>2.52</v>
      </c>
      <c r="X45" s="716">
        <v>0</v>
      </c>
      <c r="Y45" s="709">
        <v>0</v>
      </c>
      <c r="Z45" s="709">
        <v>0</v>
      </c>
    </row>
    <row r="46" spans="1:26" s="697" customFormat="1" ht="13.5">
      <c r="A46" s="708">
        <v>20</v>
      </c>
      <c r="B46" s="709" t="s">
        <v>799</v>
      </c>
      <c r="C46" s="736">
        <f t="shared" si="5"/>
        <v>6195.24</v>
      </c>
      <c r="D46" s="704">
        <f t="shared" si="6"/>
        <v>2959.54</v>
      </c>
      <c r="E46" s="716">
        <f>SUM(E47:E50)</f>
        <v>60</v>
      </c>
      <c r="F46" s="716">
        <f>SUM(F47:F50)</f>
        <v>0</v>
      </c>
      <c r="G46" s="716">
        <f>SUM(G47:G50)</f>
        <v>92.54</v>
      </c>
      <c r="H46" s="716">
        <f>SUM(H47:H50)</f>
        <v>2630</v>
      </c>
      <c r="I46" s="709"/>
      <c r="J46" s="716">
        <f>SUM(J47:J50)</f>
        <v>177</v>
      </c>
      <c r="K46" s="709"/>
      <c r="L46" s="709"/>
      <c r="M46" s="709"/>
      <c r="N46" s="741">
        <f t="shared" si="1"/>
        <v>3235.7</v>
      </c>
      <c r="O46" s="716">
        <f t="shared" ref="O46:T46" si="12">SUM(O47:O50)</f>
        <v>76</v>
      </c>
      <c r="P46" s="716">
        <f t="shared" si="12"/>
        <v>50</v>
      </c>
      <c r="Q46" s="716">
        <f t="shared" si="12"/>
        <v>20.7</v>
      </c>
      <c r="R46" s="716">
        <f t="shared" si="12"/>
        <v>448</v>
      </c>
      <c r="S46" s="716">
        <f t="shared" si="12"/>
        <v>305</v>
      </c>
      <c r="T46" s="716">
        <f t="shared" si="12"/>
        <v>266</v>
      </c>
      <c r="U46" s="716">
        <v>268</v>
      </c>
      <c r="V46" s="716">
        <f>SUM(V47:V50)</f>
        <v>237</v>
      </c>
      <c r="W46" s="716">
        <f>SUM(W47:W50)</f>
        <v>883</v>
      </c>
      <c r="X46" s="716">
        <f>SUM(X47:X50)</f>
        <v>213</v>
      </c>
      <c r="Y46" s="716">
        <f>SUM(Y47:Y50)</f>
        <v>82</v>
      </c>
      <c r="Z46" s="716">
        <f>SUM(Z47:Z50)</f>
        <v>387</v>
      </c>
    </row>
    <row r="47" spans="1:26" s="697" customFormat="1" ht="25.5">
      <c r="A47" s="708" t="s">
        <v>806</v>
      </c>
      <c r="B47" s="727" t="s">
        <v>800</v>
      </c>
      <c r="C47" s="736">
        <f t="shared" si="5"/>
        <v>5577</v>
      </c>
      <c r="D47" s="704">
        <f t="shared" si="6"/>
        <v>2630</v>
      </c>
      <c r="E47" s="709"/>
      <c r="F47" s="709"/>
      <c r="G47" s="709"/>
      <c r="H47" s="709">
        <v>2630</v>
      </c>
      <c r="I47" s="709"/>
      <c r="J47" s="709"/>
      <c r="K47" s="709"/>
      <c r="L47" s="709"/>
      <c r="M47" s="709"/>
      <c r="N47" s="741">
        <f t="shared" si="1"/>
        <v>2947</v>
      </c>
      <c r="O47" s="709">
        <v>60</v>
      </c>
      <c r="P47" s="709"/>
      <c r="Q47" s="709">
        <v>14</v>
      </c>
      <c r="R47" s="709">
        <v>411</v>
      </c>
      <c r="S47" s="709">
        <v>241</v>
      </c>
      <c r="T47" s="709">
        <v>243</v>
      </c>
      <c r="U47" s="709">
        <v>250</v>
      </c>
      <c r="V47" s="709">
        <v>223</v>
      </c>
      <c r="W47" s="709">
        <v>870</v>
      </c>
      <c r="X47" s="716">
        <v>203</v>
      </c>
      <c r="Y47" s="709">
        <v>75</v>
      </c>
      <c r="Z47" s="709">
        <v>357</v>
      </c>
    </row>
    <row r="48" spans="1:26" s="697" customFormat="1" ht="13.5">
      <c r="A48" s="708" t="s">
        <v>807</v>
      </c>
      <c r="B48" s="727" t="s">
        <v>801</v>
      </c>
      <c r="C48" s="736">
        <f t="shared" si="5"/>
        <v>137</v>
      </c>
      <c r="D48" s="704">
        <f t="shared" si="6"/>
        <v>0</v>
      </c>
      <c r="E48" s="709"/>
      <c r="F48" s="709"/>
      <c r="G48" s="709"/>
      <c r="H48" s="709"/>
      <c r="I48" s="709"/>
      <c r="J48" s="709"/>
      <c r="K48" s="709"/>
      <c r="L48" s="709"/>
      <c r="M48" s="709"/>
      <c r="N48" s="741">
        <f t="shared" si="1"/>
        <v>137</v>
      </c>
      <c r="O48" s="709">
        <v>6</v>
      </c>
      <c r="P48" s="709">
        <v>45</v>
      </c>
      <c r="Q48" s="709"/>
      <c r="R48" s="709">
        <v>22</v>
      </c>
      <c r="S48" s="709">
        <v>48</v>
      </c>
      <c r="T48" s="709"/>
      <c r="U48" s="709"/>
      <c r="V48" s="709"/>
      <c r="W48" s="709"/>
      <c r="X48" s="716"/>
      <c r="Y48" s="709"/>
      <c r="Z48" s="709">
        <v>16</v>
      </c>
    </row>
    <row r="49" spans="1:26" s="697" customFormat="1" ht="25.5">
      <c r="A49" s="708" t="s">
        <v>808</v>
      </c>
      <c r="B49" s="727" t="s">
        <v>802</v>
      </c>
      <c r="C49" s="736">
        <f>D49+N49</f>
        <v>204.54000000000002</v>
      </c>
      <c r="D49" s="704">
        <f t="shared" si="6"/>
        <v>92.54</v>
      </c>
      <c r="E49" s="709"/>
      <c r="F49" s="709"/>
      <c r="G49" s="709">
        <f>'[3]bản chốt'!$E$68/1000</f>
        <v>92.54</v>
      </c>
      <c r="H49" s="709"/>
      <c r="I49" s="709"/>
      <c r="J49" s="709"/>
      <c r="K49" s="709"/>
      <c r="L49" s="709"/>
      <c r="M49" s="709"/>
      <c r="N49" s="741">
        <f t="shared" si="1"/>
        <v>112</v>
      </c>
      <c r="O49" s="737">
        <v>10</v>
      </c>
      <c r="P49" s="737">
        <v>1</v>
      </c>
      <c r="Q49" s="737">
        <v>5</v>
      </c>
      <c r="R49" s="737">
        <v>13</v>
      </c>
      <c r="S49" s="737">
        <v>12</v>
      </c>
      <c r="T49" s="737">
        <v>7</v>
      </c>
      <c r="U49" s="737">
        <v>18</v>
      </c>
      <c r="V49" s="737">
        <v>14</v>
      </c>
      <c r="W49" s="737">
        <v>11</v>
      </c>
      <c r="X49" s="737">
        <v>8</v>
      </c>
      <c r="Y49" s="737">
        <v>5</v>
      </c>
      <c r="Z49" s="737">
        <v>8</v>
      </c>
    </row>
    <row r="50" spans="1:26" ht="38.25">
      <c r="A50" s="708" t="s">
        <v>809</v>
      </c>
      <c r="B50" s="727" t="s">
        <v>803</v>
      </c>
      <c r="C50" s="736">
        <f>D50+N50</f>
        <v>276.7</v>
      </c>
      <c r="D50" s="704">
        <f t="shared" si="6"/>
        <v>237</v>
      </c>
      <c r="E50" s="709">
        <v>60</v>
      </c>
      <c r="F50" s="709"/>
      <c r="G50" s="709"/>
      <c r="H50" s="709"/>
      <c r="I50" s="709"/>
      <c r="J50" s="709">
        <v>177</v>
      </c>
      <c r="K50" s="709"/>
      <c r="L50" s="709"/>
      <c r="M50" s="709"/>
      <c r="N50" s="741">
        <f t="shared" si="1"/>
        <v>39.700000000000003</v>
      </c>
      <c r="O50" s="709"/>
      <c r="P50" s="709">
        <v>4</v>
      </c>
      <c r="Q50" s="709">
        <v>1.7</v>
      </c>
      <c r="R50" s="709">
        <v>2</v>
      </c>
      <c r="S50" s="709">
        <v>4</v>
      </c>
      <c r="T50" s="709">
        <v>16</v>
      </c>
      <c r="U50" s="709"/>
      <c r="V50" s="709"/>
      <c r="W50" s="709">
        <v>2</v>
      </c>
      <c r="X50" s="716">
        <v>2</v>
      </c>
      <c r="Y50" s="709">
        <v>2</v>
      </c>
      <c r="Z50" s="709">
        <v>6</v>
      </c>
    </row>
  </sheetData>
  <mergeCells count="10">
    <mergeCell ref="O4:Z4"/>
    <mergeCell ref="AA4:AA5"/>
    <mergeCell ref="A1:Z1"/>
    <mergeCell ref="A2:Z2"/>
    <mergeCell ref="A4:A5"/>
    <mergeCell ref="B4:B5"/>
    <mergeCell ref="C4:C5"/>
    <mergeCell ref="D4:D5"/>
    <mergeCell ref="E4:M4"/>
    <mergeCell ref="N4:N5"/>
  </mergeCells>
  <pageMargins left="0.19685039370078741" right="0" top="0.39370078740157483" bottom="0.39370078740157483" header="0.31496062992125984" footer="0.31496062992125984"/>
  <pageSetup paperSize="9" scale="55" orientation="landscape" verticalDpi="0" r:id="rId1"/>
  <headerFooter>
    <oddFooter>Page &amp;P</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Y60"/>
  <sheetViews>
    <sheetView topLeftCell="A7" workbookViewId="0">
      <selection activeCell="F18" sqref="F18"/>
    </sheetView>
  </sheetViews>
  <sheetFormatPr defaultRowHeight="15"/>
  <cols>
    <col min="1" max="2" width="9.140625" style="1317"/>
    <col min="3" max="3" width="23.5703125" style="1317" customWidth="1"/>
    <col min="4" max="4" width="11.42578125" style="1317" customWidth="1"/>
    <col min="5" max="5" width="13.140625" style="1317" customWidth="1"/>
    <col min="6" max="6" width="14.85546875" style="1317" customWidth="1"/>
    <col min="7" max="12" width="9.140625" style="1317"/>
    <col min="13" max="13" width="12.28515625" style="1317" customWidth="1"/>
    <col min="14" max="14" width="11.7109375" style="1317" bestFit="1" customWidth="1"/>
    <col min="15" max="15" width="10.42578125" style="1317" bestFit="1" customWidth="1"/>
    <col min="16" max="25" width="11.7109375" style="1317" bestFit="1" customWidth="1"/>
    <col min="26" max="16384" width="9.140625" style="1317"/>
  </cols>
  <sheetData>
    <row r="4" spans="1:25" ht="15" customHeight="1">
      <c r="A4" s="2020" t="s">
        <v>309</v>
      </c>
      <c r="B4" s="2020" t="s">
        <v>626</v>
      </c>
      <c r="C4" s="2020" t="s">
        <v>751</v>
      </c>
      <c r="D4" s="2017" t="s">
        <v>829</v>
      </c>
      <c r="E4" s="1972" t="s">
        <v>754</v>
      </c>
      <c r="F4" s="1973"/>
      <c r="G4" s="1973"/>
      <c r="H4" s="1973"/>
      <c r="I4" s="1973"/>
      <c r="J4" s="1973"/>
      <c r="K4" s="1973"/>
      <c r="L4" s="1974"/>
      <c r="M4" s="1972" t="s">
        <v>826</v>
      </c>
      <c r="N4" s="1973"/>
      <c r="O4" s="1973"/>
      <c r="P4" s="1973"/>
      <c r="Q4" s="1973"/>
      <c r="R4" s="1973"/>
      <c r="S4" s="1973"/>
      <c r="T4" s="1973"/>
      <c r="U4" s="1973"/>
      <c r="V4" s="1973"/>
      <c r="W4" s="1973"/>
      <c r="X4" s="1973"/>
      <c r="Y4" s="1974"/>
    </row>
    <row r="5" spans="1:25">
      <c r="A5" s="2021"/>
      <c r="B5" s="2021"/>
      <c r="C5" s="2021"/>
      <c r="D5" s="2018"/>
      <c r="E5" s="1975"/>
      <c r="F5" s="1976"/>
      <c r="G5" s="1976"/>
      <c r="H5" s="1976"/>
      <c r="I5" s="1976"/>
      <c r="J5" s="1976"/>
      <c r="K5" s="1976"/>
      <c r="L5" s="1977"/>
      <c r="M5" s="1975"/>
      <c r="N5" s="1976"/>
      <c r="O5" s="1976"/>
      <c r="P5" s="1976"/>
      <c r="Q5" s="1976"/>
      <c r="R5" s="1976"/>
      <c r="S5" s="1976"/>
      <c r="T5" s="1976"/>
      <c r="U5" s="1976"/>
      <c r="V5" s="1976"/>
      <c r="W5" s="1976"/>
      <c r="X5" s="1976"/>
      <c r="Y5" s="1977"/>
    </row>
    <row r="6" spans="1:25" ht="63">
      <c r="A6" s="2021"/>
      <c r="B6" s="2021"/>
      <c r="C6" s="2021"/>
      <c r="D6" s="2018"/>
      <c r="E6" s="1333" t="s">
        <v>5</v>
      </c>
      <c r="F6" s="1333" t="s">
        <v>821</v>
      </c>
      <c r="G6" s="1334" t="s">
        <v>822</v>
      </c>
      <c r="H6" s="1334" t="s">
        <v>823</v>
      </c>
      <c r="I6" s="1335" t="s">
        <v>824</v>
      </c>
      <c r="J6" s="1336" t="s">
        <v>831</v>
      </c>
      <c r="K6" s="1336" t="s">
        <v>830</v>
      </c>
      <c r="L6" s="1336" t="s">
        <v>825</v>
      </c>
      <c r="M6" s="1065" t="s">
        <v>5</v>
      </c>
      <c r="N6" s="1314" t="s">
        <v>727</v>
      </c>
      <c r="O6" s="1315" t="s">
        <v>728</v>
      </c>
      <c r="P6" s="1315" t="s">
        <v>729</v>
      </c>
      <c r="Q6" s="1315" t="s">
        <v>730</v>
      </c>
      <c r="R6" s="1315" t="s">
        <v>731</v>
      </c>
      <c r="S6" s="1315" t="s">
        <v>732</v>
      </c>
      <c r="T6" s="1315" t="s">
        <v>733</v>
      </c>
      <c r="U6" s="1315" t="s">
        <v>734</v>
      </c>
      <c r="V6" s="1315" t="s">
        <v>735</v>
      </c>
      <c r="W6" s="1315" t="s">
        <v>736</v>
      </c>
      <c r="X6" s="1315" t="s">
        <v>737</v>
      </c>
      <c r="Y6" s="1315" t="s">
        <v>738</v>
      </c>
    </row>
    <row r="7" spans="1:25">
      <c r="A7" s="2022"/>
      <c r="B7" s="2022"/>
      <c r="C7" s="2022"/>
      <c r="D7" s="2019"/>
      <c r="E7" s="1068"/>
      <c r="F7" s="1068">
        <v>1</v>
      </c>
      <c r="G7" s="1069">
        <v>2</v>
      </c>
      <c r="H7" s="1069">
        <v>3</v>
      </c>
      <c r="I7" s="1069">
        <v>4</v>
      </c>
      <c r="J7" s="1069"/>
      <c r="K7" s="1069"/>
      <c r="L7" s="1069">
        <v>5</v>
      </c>
      <c r="M7" s="1070"/>
      <c r="N7" s="1071">
        <v>1</v>
      </c>
      <c r="O7" s="1072">
        <v>2</v>
      </c>
      <c r="P7" s="1071">
        <v>3</v>
      </c>
      <c r="Q7" s="1072">
        <v>4</v>
      </c>
      <c r="R7" s="1071">
        <v>5</v>
      </c>
      <c r="S7" s="1072">
        <v>6</v>
      </c>
      <c r="T7" s="1071">
        <v>7</v>
      </c>
      <c r="U7" s="1072">
        <v>8</v>
      </c>
      <c r="V7" s="1071">
        <v>9</v>
      </c>
      <c r="W7" s="1072">
        <v>10</v>
      </c>
      <c r="X7" s="1071">
        <v>11</v>
      </c>
      <c r="Y7" s="1072">
        <v>12</v>
      </c>
    </row>
    <row r="8" spans="1:25" s="1340" customFormat="1" ht="31.5">
      <c r="A8" s="688" t="s">
        <v>768</v>
      </c>
      <c r="C8" s="778" t="s">
        <v>813</v>
      </c>
      <c r="D8" s="1327">
        <f t="shared" ref="D8:D12" si="0">E8+M8</f>
        <v>53470000</v>
      </c>
      <c r="E8" s="1341">
        <v>25686000</v>
      </c>
      <c r="F8" s="1341"/>
      <c r="G8" s="1342"/>
      <c r="H8" s="1342"/>
      <c r="I8" s="1342"/>
      <c r="J8" s="1342"/>
      <c r="K8" s="1342"/>
      <c r="L8" s="1342"/>
      <c r="M8" s="1331">
        <f t="shared" ref="M8:M13" si="1">SUM(N8:Y8)</f>
        <v>27784000</v>
      </c>
      <c r="N8" s="1343">
        <v>3738500</v>
      </c>
      <c r="O8" s="1343">
        <v>633500</v>
      </c>
      <c r="P8" s="1343">
        <v>3026500</v>
      </c>
      <c r="Q8" s="1343">
        <v>3037500</v>
      </c>
      <c r="R8" s="1343">
        <v>3208500</v>
      </c>
      <c r="S8" s="1343">
        <v>1386000</v>
      </c>
      <c r="T8" s="1343">
        <v>2969000</v>
      </c>
      <c r="U8" s="1343">
        <v>2819700</v>
      </c>
      <c r="V8" s="1343">
        <v>3239000</v>
      </c>
      <c r="W8" s="1343">
        <v>1299500</v>
      </c>
      <c r="X8" s="1343">
        <v>1371500</v>
      </c>
      <c r="Y8" s="1343">
        <v>1054800</v>
      </c>
    </row>
    <row r="9" spans="1:25" ht="15.75">
      <c r="A9" s="688" t="s">
        <v>804</v>
      </c>
      <c r="C9" s="778" t="s">
        <v>832</v>
      </c>
      <c r="D9" s="1327">
        <f t="shared" si="0"/>
        <v>4797100</v>
      </c>
      <c r="E9" s="1337">
        <f>SUM(F9:L9)</f>
        <v>4224700</v>
      </c>
      <c r="F9" s="1337">
        <v>912600</v>
      </c>
      <c r="G9" s="1338"/>
      <c r="H9" s="1338"/>
      <c r="I9" s="1338">
        <v>2569600</v>
      </c>
      <c r="J9" s="1338">
        <v>90000</v>
      </c>
      <c r="K9" s="1338">
        <v>652500</v>
      </c>
      <c r="L9" s="1338"/>
      <c r="M9" s="1331">
        <f t="shared" si="1"/>
        <v>572400</v>
      </c>
      <c r="N9" s="1330">
        <v>47700</v>
      </c>
      <c r="O9" s="1330">
        <v>47700</v>
      </c>
      <c r="P9" s="1330">
        <v>47700</v>
      </c>
      <c r="Q9" s="1330">
        <v>47700</v>
      </c>
      <c r="R9" s="1330">
        <v>47700</v>
      </c>
      <c r="S9" s="1330">
        <v>47700</v>
      </c>
      <c r="T9" s="1330">
        <v>47700</v>
      </c>
      <c r="U9" s="1330">
        <v>47700</v>
      </c>
      <c r="V9" s="1330">
        <v>47700</v>
      </c>
      <c r="W9" s="1330">
        <v>47700</v>
      </c>
      <c r="X9" s="1330">
        <v>47700</v>
      </c>
      <c r="Y9" s="1330">
        <v>47700</v>
      </c>
    </row>
    <row r="10" spans="1:25" ht="15.75">
      <c r="A10" s="688" t="s">
        <v>815</v>
      </c>
      <c r="C10" s="778" t="s">
        <v>741</v>
      </c>
      <c r="D10" s="1327">
        <f t="shared" si="0"/>
        <v>27211600</v>
      </c>
      <c r="E10" s="1337">
        <f t="shared" ref="E10:E11" si="2">SUM(F10:L10)</f>
        <v>0</v>
      </c>
      <c r="F10" s="1337"/>
      <c r="G10" s="1338"/>
      <c r="H10" s="1338"/>
      <c r="I10" s="1338"/>
      <c r="J10" s="1338"/>
      <c r="K10" s="1338"/>
      <c r="L10" s="1338"/>
      <c r="M10" s="1331">
        <f t="shared" si="1"/>
        <v>27211600</v>
      </c>
      <c r="N10" s="1330">
        <v>3690800</v>
      </c>
      <c r="O10" s="1330">
        <v>585800</v>
      </c>
      <c r="P10" s="1330">
        <v>2978800</v>
      </c>
      <c r="Q10" s="1330">
        <v>2989800</v>
      </c>
      <c r="R10" s="1330">
        <v>3160800</v>
      </c>
      <c r="S10" s="1330">
        <v>1338300</v>
      </c>
      <c r="T10" s="1330">
        <v>2921300</v>
      </c>
      <c r="U10" s="1330">
        <v>2772000</v>
      </c>
      <c r="V10" s="1330">
        <v>3191300</v>
      </c>
      <c r="W10" s="1330">
        <v>1251800</v>
      </c>
      <c r="X10" s="1330">
        <v>1323800</v>
      </c>
      <c r="Y10" s="1330">
        <v>1007100</v>
      </c>
    </row>
    <row r="11" spans="1:25" ht="31.5">
      <c r="A11" s="1348" t="s">
        <v>814</v>
      </c>
      <c r="B11" s="1349"/>
      <c r="C11" s="1350" t="s">
        <v>811</v>
      </c>
      <c r="D11" s="1351">
        <f t="shared" si="0"/>
        <v>4483800</v>
      </c>
      <c r="E11" s="1352">
        <f t="shared" si="2"/>
        <v>0</v>
      </c>
      <c r="F11" s="1352"/>
      <c r="G11" s="1353"/>
      <c r="H11" s="1353"/>
      <c r="I11" s="1353"/>
      <c r="J11" s="1353"/>
      <c r="K11" s="1353"/>
      <c r="L11" s="1353"/>
      <c r="M11" s="1351">
        <f t="shared" si="1"/>
        <v>4483800</v>
      </c>
      <c r="N11" s="1354">
        <v>540000</v>
      </c>
      <c r="O11" s="1354">
        <v>91800</v>
      </c>
      <c r="P11" s="1354">
        <v>318600</v>
      </c>
      <c r="Q11" s="1354">
        <v>597600</v>
      </c>
      <c r="R11" s="1354">
        <v>531000</v>
      </c>
      <c r="S11" s="1354">
        <v>171000</v>
      </c>
      <c r="T11" s="1354">
        <v>612000</v>
      </c>
      <c r="U11" s="1354">
        <v>509400</v>
      </c>
      <c r="V11" s="1354">
        <v>495000</v>
      </c>
      <c r="W11" s="1354">
        <v>189000</v>
      </c>
      <c r="X11" s="1354">
        <v>223200</v>
      </c>
      <c r="Y11" s="1354">
        <v>205200</v>
      </c>
    </row>
    <row r="12" spans="1:25" ht="47.25">
      <c r="A12" s="1328" t="s">
        <v>816</v>
      </c>
      <c r="C12" s="778" t="s">
        <v>747</v>
      </c>
      <c r="D12" s="1327">
        <f t="shared" si="0"/>
        <v>44189100</v>
      </c>
      <c r="E12" s="1341">
        <f>E8-E9</f>
        <v>21461300</v>
      </c>
      <c r="F12" s="1337"/>
      <c r="G12" s="1338"/>
      <c r="H12" s="1338"/>
      <c r="I12" s="1338"/>
      <c r="J12" s="1338"/>
      <c r="K12" s="1338"/>
      <c r="L12" s="1338"/>
      <c r="M12" s="1331">
        <f t="shared" si="1"/>
        <v>22727800</v>
      </c>
      <c r="N12" s="1332">
        <f>N10-N11</f>
        <v>3150800</v>
      </c>
      <c r="O12" s="1332">
        <f t="shared" ref="O12:Y12" si="3">O10-O11</f>
        <v>494000</v>
      </c>
      <c r="P12" s="1332">
        <f t="shared" si="3"/>
        <v>2660200</v>
      </c>
      <c r="Q12" s="1332">
        <f t="shared" si="3"/>
        <v>2392200</v>
      </c>
      <c r="R12" s="1332">
        <f t="shared" si="3"/>
        <v>2629800</v>
      </c>
      <c r="S12" s="1332">
        <f t="shared" si="3"/>
        <v>1167300</v>
      </c>
      <c r="T12" s="1332">
        <f t="shared" si="3"/>
        <v>2309300</v>
      </c>
      <c r="U12" s="1332">
        <f t="shared" si="3"/>
        <v>2262600</v>
      </c>
      <c r="V12" s="1332">
        <f t="shared" si="3"/>
        <v>2696300</v>
      </c>
      <c r="W12" s="1332">
        <f t="shared" si="3"/>
        <v>1062800</v>
      </c>
      <c r="X12" s="1332">
        <f t="shared" si="3"/>
        <v>1100600</v>
      </c>
      <c r="Y12" s="1332">
        <f t="shared" si="3"/>
        <v>801900</v>
      </c>
    </row>
    <row r="13" spans="1:25" ht="78.75">
      <c r="A13" s="1328" t="s">
        <v>817</v>
      </c>
      <c r="C13" s="1329" t="s">
        <v>834</v>
      </c>
      <c r="D13" s="1327">
        <v>27000000</v>
      </c>
      <c r="E13" s="1337"/>
      <c r="F13" s="1337"/>
      <c r="G13" s="1338"/>
      <c r="H13" s="1338"/>
      <c r="I13" s="1338"/>
      <c r="J13" s="1338"/>
      <c r="K13" s="1338"/>
      <c r="L13" s="1338"/>
      <c r="M13" s="1331">
        <f t="shared" si="1"/>
        <v>0</v>
      </c>
      <c r="N13" s="1332"/>
      <c r="O13" s="1332"/>
      <c r="P13" s="1332"/>
      <c r="Q13" s="1332"/>
      <c r="R13" s="1332"/>
      <c r="S13" s="1332"/>
      <c r="T13" s="1332"/>
      <c r="U13" s="1332"/>
      <c r="V13" s="1332"/>
      <c r="W13" s="1332"/>
      <c r="X13" s="1332"/>
      <c r="Y13" s="1332"/>
    </row>
    <row r="14" spans="1:25" s="1340" customFormat="1" ht="78.75">
      <c r="A14" s="1344" t="s">
        <v>835</v>
      </c>
      <c r="B14" s="1345"/>
      <c r="C14" s="1346" t="s">
        <v>836</v>
      </c>
      <c r="D14" s="1347">
        <f>D12+D13</f>
        <v>71189100</v>
      </c>
      <c r="E14" s="1356">
        <f>E12+E13</f>
        <v>21461300</v>
      </c>
      <c r="F14" s="1356">
        <f t="shared" ref="F14:L14" si="4">F12+F13</f>
        <v>0</v>
      </c>
      <c r="G14" s="1356">
        <f t="shared" si="4"/>
        <v>0</v>
      </c>
      <c r="H14" s="1356">
        <f t="shared" si="4"/>
        <v>0</v>
      </c>
      <c r="I14" s="1356">
        <f t="shared" si="4"/>
        <v>0</v>
      </c>
      <c r="J14" s="1356">
        <f t="shared" si="4"/>
        <v>0</v>
      </c>
      <c r="K14" s="1356">
        <f t="shared" si="4"/>
        <v>0</v>
      </c>
      <c r="L14" s="1356">
        <f t="shared" si="4"/>
        <v>0</v>
      </c>
      <c r="M14" s="1356">
        <f t="shared" ref="M14" si="5">M12+M13</f>
        <v>22727800</v>
      </c>
      <c r="N14" s="1356">
        <f t="shared" ref="N14" si="6">N12+N13</f>
        <v>3150800</v>
      </c>
      <c r="O14" s="1356">
        <f t="shared" ref="O14" si="7">O12+O13</f>
        <v>494000</v>
      </c>
      <c r="P14" s="1356">
        <f t="shared" ref="P14" si="8">P12+P13</f>
        <v>2660200</v>
      </c>
      <c r="Q14" s="1356">
        <f t="shared" ref="Q14" si="9">Q12+Q13</f>
        <v>2392200</v>
      </c>
      <c r="R14" s="1356">
        <f t="shared" ref="R14" si="10">R12+R13</f>
        <v>2629800</v>
      </c>
      <c r="S14" s="1356">
        <f t="shared" ref="S14:T14" si="11">S12+S13</f>
        <v>1167300</v>
      </c>
      <c r="T14" s="1356">
        <f t="shared" si="11"/>
        <v>2309300</v>
      </c>
      <c r="U14" s="1356">
        <f t="shared" ref="U14" si="12">U12+U13</f>
        <v>2262600</v>
      </c>
      <c r="V14" s="1356">
        <f t="shared" ref="V14" si="13">V12+V13</f>
        <v>2696300</v>
      </c>
      <c r="W14" s="1356">
        <f t="shared" ref="W14" si="14">W12+W13</f>
        <v>1062800</v>
      </c>
      <c r="X14" s="1356">
        <f t="shared" ref="X14" si="15">X12+X13</f>
        <v>1100600</v>
      </c>
      <c r="Y14" s="1356">
        <f t="shared" ref="Y14" si="16">Y12+Y13</f>
        <v>801900</v>
      </c>
    </row>
    <row r="15" spans="1:25" ht="53.25" customHeight="1">
      <c r="A15" s="1355" t="s">
        <v>833</v>
      </c>
      <c r="B15" s="1325"/>
      <c r="C15" s="1326" t="s">
        <v>818</v>
      </c>
      <c r="D15" s="1327">
        <f>E15+M15</f>
        <v>68113885.540000007</v>
      </c>
      <c r="E15" s="1327">
        <f>SUM(F15:L15)</f>
        <v>20704496</v>
      </c>
      <c r="F15" s="1327">
        <f>F16+F21+F26+F31+F32+F33+F34+F35+F36+F39+F43+F44+F45+F46+F47+F48+F49+F50+F51+F56</f>
        <v>12969575</v>
      </c>
      <c r="G15" s="1327">
        <f t="shared" ref="G15:Y15" si="17">G16+G21+G26+G31+G32+G33+G34+G35+G36+G39+G43+G44+G45+G46+G47+G48+G49+G50+G51+G56</f>
        <v>278900</v>
      </c>
      <c r="H15" s="1327">
        <f t="shared" si="17"/>
        <v>6984202</v>
      </c>
      <c r="I15" s="1327">
        <f t="shared" si="17"/>
        <v>274920</v>
      </c>
      <c r="J15" s="1327"/>
      <c r="K15" s="1327"/>
      <c r="L15" s="1327">
        <f t="shared" si="17"/>
        <v>196899</v>
      </c>
      <c r="M15" s="1327">
        <f>SUM(N15:Y15)</f>
        <v>47409389.540000007</v>
      </c>
      <c r="N15" s="1327">
        <f t="shared" si="17"/>
        <v>9123380</v>
      </c>
      <c r="O15" s="1327">
        <f t="shared" si="17"/>
        <v>1860243.2039999999</v>
      </c>
      <c r="P15" s="1327">
        <f t="shared" si="17"/>
        <v>3108632</v>
      </c>
      <c r="Q15" s="1327">
        <f t="shared" si="17"/>
        <v>4222246</v>
      </c>
      <c r="R15" s="1327">
        <f t="shared" si="17"/>
        <v>4667123</v>
      </c>
      <c r="S15" s="1327">
        <f t="shared" si="17"/>
        <v>2737917.35</v>
      </c>
      <c r="T15" s="1327">
        <f t="shared" si="17"/>
        <v>4248689.6459999997</v>
      </c>
      <c r="U15" s="1327">
        <f t="shared" si="17"/>
        <v>3217748.3</v>
      </c>
      <c r="V15" s="1327">
        <f t="shared" si="17"/>
        <v>4633827.04</v>
      </c>
      <c r="W15" s="1327">
        <f t="shared" si="17"/>
        <v>3115177</v>
      </c>
      <c r="X15" s="1327">
        <f t="shared" si="17"/>
        <v>2028025</v>
      </c>
      <c r="Y15" s="1327">
        <f t="shared" si="17"/>
        <v>4446381</v>
      </c>
    </row>
    <row r="16" spans="1:25" ht="48">
      <c r="A16" s="1083">
        <v>1</v>
      </c>
      <c r="B16" s="1084" t="s">
        <v>34</v>
      </c>
      <c r="C16" s="1085" t="s">
        <v>243</v>
      </c>
      <c r="D16" s="1318">
        <f t="shared" ref="D16:D60" si="18">E16+M16</f>
        <v>11606586.449999999</v>
      </c>
      <c r="E16" s="1318">
        <f t="shared" ref="E16:E60" si="19">SUM(F16:L16)</f>
        <v>1052250</v>
      </c>
      <c r="F16" s="1238">
        <v>1052250</v>
      </c>
      <c r="G16" s="1239">
        <v>0</v>
      </c>
      <c r="H16" s="1239">
        <v>0</v>
      </c>
      <c r="I16" s="1239">
        <v>0</v>
      </c>
      <c r="J16" s="1239"/>
      <c r="K16" s="1239"/>
      <c r="L16" s="1239">
        <v>0</v>
      </c>
      <c r="M16" s="1318">
        <f>SUM(N16:Y16)</f>
        <v>10554336.449999999</v>
      </c>
      <c r="N16" s="1238">
        <v>3369205</v>
      </c>
      <c r="O16" s="1238">
        <v>202250</v>
      </c>
      <c r="P16" s="1238">
        <v>807530</v>
      </c>
      <c r="Q16" s="1238">
        <v>703824</v>
      </c>
      <c r="R16" s="1238">
        <v>1221426</v>
      </c>
      <c r="S16" s="1238">
        <v>623033.15</v>
      </c>
      <c r="T16" s="1238">
        <v>745464</v>
      </c>
      <c r="U16" s="1238">
        <v>536874.30000000005</v>
      </c>
      <c r="V16" s="1238">
        <v>464600</v>
      </c>
      <c r="W16" s="1238">
        <v>1183190</v>
      </c>
      <c r="X16" s="1238">
        <v>113280</v>
      </c>
      <c r="Y16" s="1238">
        <v>583660</v>
      </c>
    </row>
    <row r="17" spans="1:25" ht="24">
      <c r="A17" s="1083" t="s">
        <v>578</v>
      </c>
      <c r="B17" s="1084" t="s">
        <v>34</v>
      </c>
      <c r="C17" s="1085" t="s">
        <v>827</v>
      </c>
      <c r="D17" s="1318">
        <f t="shared" si="18"/>
        <v>1465350</v>
      </c>
      <c r="E17" s="1318">
        <f t="shared" si="19"/>
        <v>286000</v>
      </c>
      <c r="F17" s="1238">
        <v>286000</v>
      </c>
      <c r="G17" s="1239">
        <v>0</v>
      </c>
      <c r="H17" s="1239">
        <v>0</v>
      </c>
      <c r="I17" s="1239">
        <v>0</v>
      </c>
      <c r="J17" s="1239"/>
      <c r="K17" s="1239"/>
      <c r="L17" s="1239">
        <v>0</v>
      </c>
      <c r="M17" s="1318">
        <f t="shared" ref="M17:M60" si="20">SUM(N17:Y17)</f>
        <v>1179350</v>
      </c>
      <c r="N17" s="1238">
        <v>66402</v>
      </c>
      <c r="O17" s="1238">
        <v>50000</v>
      </c>
      <c r="P17" s="1238">
        <v>45650</v>
      </c>
      <c r="Q17" s="1238">
        <v>298120</v>
      </c>
      <c r="R17" s="1238">
        <v>52500</v>
      </c>
      <c r="S17" s="1238">
        <v>49700</v>
      </c>
      <c r="T17" s="1238">
        <v>136980</v>
      </c>
      <c r="U17" s="1238">
        <v>63468</v>
      </c>
      <c r="V17" s="1238">
        <v>50800</v>
      </c>
      <c r="W17" s="1238">
        <v>57390</v>
      </c>
      <c r="X17" s="1238">
        <v>113280</v>
      </c>
      <c r="Y17" s="1238">
        <v>195060</v>
      </c>
    </row>
    <row r="18" spans="1:25" ht="24">
      <c r="A18" s="1083" t="s">
        <v>579</v>
      </c>
      <c r="B18" s="1084" t="s">
        <v>34</v>
      </c>
      <c r="C18" s="1085" t="s">
        <v>511</v>
      </c>
      <c r="D18" s="1318">
        <f t="shared" si="18"/>
        <v>9799770.4499999993</v>
      </c>
      <c r="E18" s="1318">
        <f t="shared" si="19"/>
        <v>638850</v>
      </c>
      <c r="F18" s="1238">
        <v>638850</v>
      </c>
      <c r="G18" s="1239">
        <v>0</v>
      </c>
      <c r="H18" s="1239">
        <v>0</v>
      </c>
      <c r="I18" s="1239">
        <v>0</v>
      </c>
      <c r="J18" s="1239"/>
      <c r="K18" s="1239"/>
      <c r="L18" s="1239">
        <v>0</v>
      </c>
      <c r="M18" s="1318">
        <f t="shared" si="20"/>
        <v>9160920.4499999993</v>
      </c>
      <c r="N18" s="1238">
        <v>3273523</v>
      </c>
      <c r="O18" s="1238">
        <v>137750</v>
      </c>
      <c r="P18" s="1238">
        <v>754800</v>
      </c>
      <c r="Q18" s="1238">
        <v>405704</v>
      </c>
      <c r="R18" s="1238">
        <v>1005720</v>
      </c>
      <c r="S18" s="1238">
        <v>573333.15</v>
      </c>
      <c r="T18" s="1238">
        <v>608484</v>
      </c>
      <c r="U18" s="1238">
        <v>473406.3</v>
      </c>
      <c r="V18" s="1238">
        <v>413800</v>
      </c>
      <c r="W18" s="1238">
        <v>1125800</v>
      </c>
      <c r="X18" s="1238">
        <v>0</v>
      </c>
      <c r="Y18" s="1238">
        <v>388600</v>
      </c>
    </row>
    <row r="19" spans="1:25">
      <c r="A19" s="1083" t="s">
        <v>580</v>
      </c>
      <c r="B19" s="1084" t="s">
        <v>34</v>
      </c>
      <c r="C19" s="1085" t="s">
        <v>31</v>
      </c>
      <c r="D19" s="1318">
        <f t="shared" si="18"/>
        <v>141796</v>
      </c>
      <c r="E19" s="1318">
        <f t="shared" si="19"/>
        <v>52400</v>
      </c>
      <c r="F19" s="1238">
        <v>52400</v>
      </c>
      <c r="G19" s="1239">
        <v>0</v>
      </c>
      <c r="H19" s="1239">
        <v>0</v>
      </c>
      <c r="I19" s="1239">
        <v>0</v>
      </c>
      <c r="J19" s="1239"/>
      <c r="K19" s="1239"/>
      <c r="L19" s="1239">
        <v>0</v>
      </c>
      <c r="M19" s="1318">
        <f t="shared" si="20"/>
        <v>89396</v>
      </c>
      <c r="N19" s="1238">
        <v>29280</v>
      </c>
      <c r="O19" s="1238">
        <v>14500</v>
      </c>
      <c r="P19" s="1238">
        <v>7080</v>
      </c>
      <c r="Q19" s="1238">
        <v>0</v>
      </c>
      <c r="R19" s="1238">
        <v>38536</v>
      </c>
      <c r="S19" s="1238">
        <v>0</v>
      </c>
      <c r="T19" s="1238">
        <v>0</v>
      </c>
      <c r="U19" s="1238">
        <v>0</v>
      </c>
      <c r="V19" s="1238">
        <v>0</v>
      </c>
      <c r="W19" s="1238">
        <v>0</v>
      </c>
      <c r="X19" s="1238">
        <v>0</v>
      </c>
      <c r="Y19" s="1238">
        <v>0</v>
      </c>
    </row>
    <row r="20" spans="1:25" ht="36">
      <c r="A20" s="1083" t="s">
        <v>581</v>
      </c>
      <c r="B20" s="1084" t="s">
        <v>34</v>
      </c>
      <c r="C20" s="1085" t="s">
        <v>223</v>
      </c>
      <c r="D20" s="1318">
        <f t="shared" si="18"/>
        <v>199670</v>
      </c>
      <c r="E20" s="1318">
        <f t="shared" si="19"/>
        <v>75000</v>
      </c>
      <c r="F20" s="1238">
        <v>75000</v>
      </c>
      <c r="G20" s="1239">
        <v>0</v>
      </c>
      <c r="H20" s="1239">
        <v>0</v>
      </c>
      <c r="I20" s="1239">
        <v>0</v>
      </c>
      <c r="J20" s="1239"/>
      <c r="K20" s="1239"/>
      <c r="L20" s="1239">
        <v>0</v>
      </c>
      <c r="M20" s="1318">
        <f t="shared" si="20"/>
        <v>124670</v>
      </c>
      <c r="N20" s="1238">
        <v>0</v>
      </c>
      <c r="O20" s="1238">
        <v>0</v>
      </c>
      <c r="P20" s="1238">
        <v>0</v>
      </c>
      <c r="Q20" s="1238">
        <v>0</v>
      </c>
      <c r="R20" s="1238">
        <v>124670</v>
      </c>
      <c r="S20" s="1238">
        <v>0</v>
      </c>
      <c r="T20" s="1238">
        <v>0</v>
      </c>
      <c r="U20" s="1238">
        <v>0</v>
      </c>
      <c r="V20" s="1238">
        <v>0</v>
      </c>
      <c r="W20" s="1238">
        <v>0</v>
      </c>
      <c r="X20" s="1238">
        <v>0</v>
      </c>
      <c r="Y20" s="1238">
        <v>0</v>
      </c>
    </row>
    <row r="21" spans="1:25" ht="24">
      <c r="A21" s="1192">
        <v>2</v>
      </c>
      <c r="B21" s="1084" t="s">
        <v>34</v>
      </c>
      <c r="C21" s="1085" t="s">
        <v>234</v>
      </c>
      <c r="D21" s="1318">
        <f t="shared" si="18"/>
        <v>7122660.6459999997</v>
      </c>
      <c r="E21" s="1318">
        <f t="shared" si="19"/>
        <v>1698980</v>
      </c>
      <c r="F21" s="1238">
        <v>1698980</v>
      </c>
      <c r="G21" s="1239">
        <v>0</v>
      </c>
      <c r="H21" s="1239">
        <v>0</v>
      </c>
      <c r="I21" s="1239">
        <v>0</v>
      </c>
      <c r="J21" s="1239"/>
      <c r="K21" s="1239"/>
      <c r="L21" s="1239">
        <v>0</v>
      </c>
      <c r="M21" s="1318">
        <f t="shared" si="20"/>
        <v>5423680.6459999997</v>
      </c>
      <c r="N21" s="1238">
        <v>494354</v>
      </c>
      <c r="O21" s="1238">
        <v>76240</v>
      </c>
      <c r="P21" s="1238">
        <v>76222</v>
      </c>
      <c r="Q21" s="1238">
        <v>285187</v>
      </c>
      <c r="R21" s="1238">
        <v>407340</v>
      </c>
      <c r="S21" s="1238">
        <v>71733</v>
      </c>
      <c r="T21" s="1238">
        <v>499977.64600000001</v>
      </c>
      <c r="U21" s="1238">
        <v>312822</v>
      </c>
      <c r="V21" s="1238">
        <v>537295</v>
      </c>
      <c r="W21" s="1238">
        <v>227830</v>
      </c>
      <c r="X21" s="1238">
        <v>240610</v>
      </c>
      <c r="Y21" s="1238">
        <v>2194070</v>
      </c>
    </row>
    <row r="22" spans="1:25">
      <c r="A22" s="1092" t="s">
        <v>251</v>
      </c>
      <c r="B22" s="1084" t="s">
        <v>34</v>
      </c>
      <c r="C22" s="1105" t="s">
        <v>18</v>
      </c>
      <c r="D22" s="1318">
        <f t="shared" si="18"/>
        <v>3451727.6459999997</v>
      </c>
      <c r="E22" s="1318">
        <f t="shared" si="19"/>
        <v>594000</v>
      </c>
      <c r="F22" s="1238">
        <v>594000</v>
      </c>
      <c r="G22" s="1239">
        <v>0</v>
      </c>
      <c r="H22" s="1239">
        <v>0</v>
      </c>
      <c r="I22" s="1239">
        <v>0</v>
      </c>
      <c r="J22" s="1239"/>
      <c r="K22" s="1239"/>
      <c r="L22" s="1239">
        <v>0</v>
      </c>
      <c r="M22" s="1318">
        <f t="shared" si="20"/>
        <v>2857727.6459999997</v>
      </c>
      <c r="N22" s="1238">
        <v>450191</v>
      </c>
      <c r="O22" s="1238">
        <v>23362</v>
      </c>
      <c r="P22" s="1238">
        <v>26265</v>
      </c>
      <c r="Q22" s="1238">
        <v>17012</v>
      </c>
      <c r="R22" s="1238">
        <v>152180</v>
      </c>
      <c r="S22" s="1238">
        <v>10110</v>
      </c>
      <c r="T22" s="1238">
        <v>61967.646000000001</v>
      </c>
      <c r="U22" s="1238">
        <v>14130</v>
      </c>
      <c r="V22" s="1238">
        <v>37210</v>
      </c>
      <c r="W22" s="1238">
        <v>51050</v>
      </c>
      <c r="X22" s="1238">
        <v>5640</v>
      </c>
      <c r="Y22" s="1238">
        <v>2008610</v>
      </c>
    </row>
    <row r="23" spans="1:25">
      <c r="A23" s="1127" t="s">
        <v>252</v>
      </c>
      <c r="B23" s="1084" t="s">
        <v>34</v>
      </c>
      <c r="C23" s="1105" t="s">
        <v>19</v>
      </c>
      <c r="D23" s="1318">
        <f t="shared" si="18"/>
        <v>439248</v>
      </c>
      <c r="E23" s="1318">
        <f t="shared" si="19"/>
        <v>330200</v>
      </c>
      <c r="F23" s="1238">
        <v>330200</v>
      </c>
      <c r="G23" s="1239">
        <v>0</v>
      </c>
      <c r="H23" s="1239">
        <v>0</v>
      </c>
      <c r="I23" s="1239">
        <v>0</v>
      </c>
      <c r="J23" s="1239"/>
      <c r="K23" s="1239"/>
      <c r="L23" s="1239">
        <v>0</v>
      </c>
      <c r="M23" s="1318">
        <f t="shared" si="20"/>
        <v>109048</v>
      </c>
      <c r="N23" s="1238">
        <v>17506</v>
      </c>
      <c r="O23" s="1238">
        <v>2500</v>
      </c>
      <c r="P23" s="1238">
        <v>6220</v>
      </c>
      <c r="Q23" s="1238">
        <v>39000</v>
      </c>
      <c r="R23" s="1238">
        <v>4380</v>
      </c>
      <c r="S23" s="1238">
        <v>1710</v>
      </c>
      <c r="T23" s="1238">
        <v>8100</v>
      </c>
      <c r="U23" s="1238">
        <v>7782</v>
      </c>
      <c r="V23" s="1238">
        <v>12700</v>
      </c>
      <c r="W23" s="1238">
        <v>4340</v>
      </c>
      <c r="X23" s="1238">
        <v>2160</v>
      </c>
      <c r="Y23" s="1238">
        <v>2650</v>
      </c>
    </row>
    <row r="24" spans="1:25">
      <c r="A24" s="1092" t="s">
        <v>253</v>
      </c>
      <c r="B24" s="1084" t="s">
        <v>34</v>
      </c>
      <c r="C24" s="1105" t="s">
        <v>20</v>
      </c>
      <c r="D24" s="1318">
        <f t="shared" si="18"/>
        <v>338548</v>
      </c>
      <c r="E24" s="1318">
        <f t="shared" si="19"/>
        <v>109780</v>
      </c>
      <c r="F24" s="1238">
        <v>109780</v>
      </c>
      <c r="G24" s="1239">
        <v>0</v>
      </c>
      <c r="H24" s="1239">
        <v>0</v>
      </c>
      <c r="I24" s="1239">
        <v>0</v>
      </c>
      <c r="J24" s="1239"/>
      <c r="K24" s="1239"/>
      <c r="L24" s="1239">
        <v>0</v>
      </c>
      <c r="M24" s="1318">
        <f t="shared" si="20"/>
        <v>228768</v>
      </c>
      <c r="N24" s="1238">
        <v>16683</v>
      </c>
      <c r="O24" s="1238">
        <v>15978</v>
      </c>
      <c r="P24" s="1238">
        <v>8259</v>
      </c>
      <c r="Q24" s="1238">
        <v>21600</v>
      </c>
      <c r="R24" s="1238">
        <v>14080</v>
      </c>
      <c r="S24" s="1238">
        <v>12388</v>
      </c>
      <c r="T24" s="1238">
        <v>19960</v>
      </c>
      <c r="U24" s="1238">
        <v>33270</v>
      </c>
      <c r="V24" s="1238">
        <v>37500</v>
      </c>
      <c r="W24" s="1238">
        <v>5000</v>
      </c>
      <c r="X24" s="1238">
        <v>16800</v>
      </c>
      <c r="Y24" s="1238">
        <v>27250</v>
      </c>
    </row>
    <row r="25" spans="1:25" ht="24">
      <c r="A25" s="1092" t="s">
        <v>254</v>
      </c>
      <c r="B25" s="1084" t="s">
        <v>34</v>
      </c>
      <c r="C25" s="1105" t="s">
        <v>21</v>
      </c>
      <c r="D25" s="1318">
        <f t="shared" si="18"/>
        <v>2893137</v>
      </c>
      <c r="E25" s="1318">
        <f t="shared" si="19"/>
        <v>665000</v>
      </c>
      <c r="F25" s="1238">
        <v>665000</v>
      </c>
      <c r="G25" s="1239">
        <v>0</v>
      </c>
      <c r="H25" s="1239">
        <v>0</v>
      </c>
      <c r="I25" s="1239">
        <v>0</v>
      </c>
      <c r="J25" s="1239"/>
      <c r="K25" s="1239"/>
      <c r="L25" s="1239">
        <v>0</v>
      </c>
      <c r="M25" s="1318">
        <f t="shared" si="20"/>
        <v>2228137</v>
      </c>
      <c r="N25" s="1238">
        <v>9974</v>
      </c>
      <c r="O25" s="1238">
        <v>34400</v>
      </c>
      <c r="P25" s="1238">
        <v>35478</v>
      </c>
      <c r="Q25" s="1238">
        <v>207575</v>
      </c>
      <c r="R25" s="1238">
        <v>236700</v>
      </c>
      <c r="S25" s="1238">
        <v>47525</v>
      </c>
      <c r="T25" s="1238">
        <v>409950</v>
      </c>
      <c r="U25" s="1238">
        <v>257640</v>
      </c>
      <c r="V25" s="1238">
        <v>449885</v>
      </c>
      <c r="W25" s="1238">
        <v>167440</v>
      </c>
      <c r="X25" s="1238">
        <v>216010</v>
      </c>
      <c r="Y25" s="1238">
        <v>155560</v>
      </c>
    </row>
    <row r="26" spans="1:25" ht="24">
      <c r="A26" s="1127">
        <v>3</v>
      </c>
      <c r="B26" s="1084" t="s">
        <v>34</v>
      </c>
      <c r="C26" s="1085" t="s">
        <v>235</v>
      </c>
      <c r="D26" s="1318">
        <f t="shared" si="18"/>
        <v>2510766.2039999999</v>
      </c>
      <c r="E26" s="1318">
        <f t="shared" si="19"/>
        <v>986000</v>
      </c>
      <c r="F26" s="1238">
        <v>986000</v>
      </c>
      <c r="G26" s="1239">
        <v>0</v>
      </c>
      <c r="H26" s="1239">
        <v>0</v>
      </c>
      <c r="I26" s="1239">
        <v>0</v>
      </c>
      <c r="J26" s="1239"/>
      <c r="K26" s="1239"/>
      <c r="L26" s="1239">
        <v>0</v>
      </c>
      <c r="M26" s="1318">
        <f t="shared" si="20"/>
        <v>1524766.2039999999</v>
      </c>
      <c r="N26" s="1238">
        <v>195066</v>
      </c>
      <c r="O26" s="1238">
        <v>116754.204</v>
      </c>
      <c r="P26" s="1238">
        <v>109844</v>
      </c>
      <c r="Q26" s="1238">
        <v>144881</v>
      </c>
      <c r="R26" s="1238">
        <v>109258</v>
      </c>
      <c r="S26" s="1238">
        <v>80530</v>
      </c>
      <c r="T26" s="1238">
        <v>110115</v>
      </c>
      <c r="U26" s="1238">
        <v>214610</v>
      </c>
      <c r="V26" s="1238">
        <v>213608</v>
      </c>
      <c r="W26" s="1238">
        <v>69680</v>
      </c>
      <c r="X26" s="1238">
        <v>32820</v>
      </c>
      <c r="Y26" s="1238">
        <v>127600</v>
      </c>
    </row>
    <row r="27" spans="1:25" ht="24">
      <c r="A27" s="1092" t="s">
        <v>245</v>
      </c>
      <c r="B27" s="1084" t="s">
        <v>34</v>
      </c>
      <c r="C27" s="1105" t="s">
        <v>23</v>
      </c>
      <c r="D27" s="1318">
        <f t="shared" si="18"/>
        <v>440988</v>
      </c>
      <c r="E27" s="1318">
        <f t="shared" si="19"/>
        <v>160000</v>
      </c>
      <c r="F27" s="1238">
        <v>160000</v>
      </c>
      <c r="G27" s="1239">
        <v>0</v>
      </c>
      <c r="H27" s="1239">
        <v>0</v>
      </c>
      <c r="I27" s="1239">
        <v>0</v>
      </c>
      <c r="J27" s="1239"/>
      <c r="K27" s="1239"/>
      <c r="L27" s="1239">
        <v>0</v>
      </c>
      <c r="M27" s="1318">
        <f t="shared" si="20"/>
        <v>280988</v>
      </c>
      <c r="N27" s="1238">
        <v>41700</v>
      </c>
      <c r="O27" s="1238">
        <v>52060</v>
      </c>
      <c r="P27" s="1238">
        <v>36360</v>
      </c>
      <c r="Q27" s="1238">
        <v>26600</v>
      </c>
      <c r="R27" s="1238">
        <v>24236</v>
      </c>
      <c r="S27" s="1238">
        <v>1700</v>
      </c>
      <c r="T27" s="1238">
        <v>20760</v>
      </c>
      <c r="U27" s="1238">
        <v>22320</v>
      </c>
      <c r="V27" s="1238">
        <v>29872</v>
      </c>
      <c r="W27" s="1238">
        <v>7500</v>
      </c>
      <c r="X27" s="1238">
        <v>3600</v>
      </c>
      <c r="Y27" s="1238">
        <v>14280</v>
      </c>
    </row>
    <row r="28" spans="1:25" ht="24">
      <c r="A28" s="1092" t="s">
        <v>246</v>
      </c>
      <c r="B28" s="1084" t="s">
        <v>34</v>
      </c>
      <c r="C28" s="1105" t="s">
        <v>304</v>
      </c>
      <c r="D28" s="1318">
        <f t="shared" si="18"/>
        <v>457840</v>
      </c>
      <c r="E28" s="1318">
        <f t="shared" si="19"/>
        <v>181000</v>
      </c>
      <c r="F28" s="1238">
        <v>181000</v>
      </c>
      <c r="G28" s="1239">
        <v>0</v>
      </c>
      <c r="H28" s="1239">
        <v>0</v>
      </c>
      <c r="I28" s="1239">
        <v>0</v>
      </c>
      <c r="J28" s="1239"/>
      <c r="K28" s="1239"/>
      <c r="L28" s="1239">
        <v>0</v>
      </c>
      <c r="M28" s="1318">
        <f t="shared" si="20"/>
        <v>276840</v>
      </c>
      <c r="N28" s="1238">
        <v>29475</v>
      </c>
      <c r="O28" s="1238">
        <v>9360</v>
      </c>
      <c r="P28" s="1238">
        <v>19180</v>
      </c>
      <c r="Q28" s="1238">
        <v>9750</v>
      </c>
      <c r="R28" s="1238">
        <v>32516</v>
      </c>
      <c r="S28" s="1238">
        <v>30380</v>
      </c>
      <c r="T28" s="1238">
        <v>12135</v>
      </c>
      <c r="U28" s="1238">
        <v>19752</v>
      </c>
      <c r="V28" s="1238">
        <v>40872</v>
      </c>
      <c r="W28" s="1238">
        <v>30600</v>
      </c>
      <c r="X28" s="1238">
        <v>18240</v>
      </c>
      <c r="Y28" s="1238">
        <v>24580</v>
      </c>
    </row>
    <row r="29" spans="1:25" ht="24">
      <c r="A29" s="1092" t="s">
        <v>247</v>
      </c>
      <c r="B29" s="1084" t="s">
        <v>34</v>
      </c>
      <c r="C29" s="1085" t="s">
        <v>237</v>
      </c>
      <c r="D29" s="1318">
        <f t="shared" si="18"/>
        <v>1454238</v>
      </c>
      <c r="E29" s="1318">
        <f t="shared" si="19"/>
        <v>570000</v>
      </c>
      <c r="F29" s="1238">
        <v>570000</v>
      </c>
      <c r="G29" s="1239">
        <v>0</v>
      </c>
      <c r="H29" s="1239">
        <v>0</v>
      </c>
      <c r="I29" s="1239">
        <v>0</v>
      </c>
      <c r="J29" s="1239"/>
      <c r="K29" s="1239"/>
      <c r="L29" s="1239">
        <v>0</v>
      </c>
      <c r="M29" s="1318">
        <f t="shared" si="20"/>
        <v>884238</v>
      </c>
      <c r="N29" s="1238">
        <v>81945</v>
      </c>
      <c r="O29" s="1238">
        <v>50900</v>
      </c>
      <c r="P29" s="1238">
        <v>52124</v>
      </c>
      <c r="Q29" s="1238">
        <v>103931</v>
      </c>
      <c r="R29" s="1238">
        <v>52506</v>
      </c>
      <c r="S29" s="1238">
        <v>46970</v>
      </c>
      <c r="T29" s="1238">
        <v>66480</v>
      </c>
      <c r="U29" s="1238">
        <v>172538</v>
      </c>
      <c r="V29" s="1238">
        <v>138604</v>
      </c>
      <c r="W29" s="1238">
        <v>25530</v>
      </c>
      <c r="X29" s="1238">
        <v>7620</v>
      </c>
      <c r="Y29" s="1238">
        <v>85090</v>
      </c>
    </row>
    <row r="30" spans="1:25" ht="36">
      <c r="A30" s="1092" t="s">
        <v>828</v>
      </c>
      <c r="B30" s="1084" t="s">
        <v>34</v>
      </c>
      <c r="C30" s="1105" t="s">
        <v>24</v>
      </c>
      <c r="D30" s="1318">
        <f t="shared" si="18"/>
        <v>157700.204</v>
      </c>
      <c r="E30" s="1318">
        <f t="shared" si="19"/>
        <v>75000</v>
      </c>
      <c r="F30" s="1238">
        <v>75000</v>
      </c>
      <c r="G30" s="1239">
        <v>0</v>
      </c>
      <c r="H30" s="1239">
        <v>0</v>
      </c>
      <c r="I30" s="1239">
        <v>0</v>
      </c>
      <c r="J30" s="1239"/>
      <c r="K30" s="1239"/>
      <c r="L30" s="1239">
        <v>0</v>
      </c>
      <c r="M30" s="1318">
        <f t="shared" si="20"/>
        <v>82700.203999999998</v>
      </c>
      <c r="N30" s="1238">
        <v>41946</v>
      </c>
      <c r="O30" s="1238">
        <v>4434.2039999999997</v>
      </c>
      <c r="P30" s="1238">
        <v>2180</v>
      </c>
      <c r="Q30" s="1238">
        <v>4600</v>
      </c>
      <c r="R30" s="1238">
        <v>0</v>
      </c>
      <c r="S30" s="1238">
        <v>1480</v>
      </c>
      <c r="T30" s="1238">
        <v>10740</v>
      </c>
      <c r="U30" s="1238">
        <v>0</v>
      </c>
      <c r="V30" s="1238">
        <v>4260</v>
      </c>
      <c r="W30" s="1238">
        <v>6050</v>
      </c>
      <c r="X30" s="1238">
        <v>3360</v>
      </c>
      <c r="Y30" s="1238">
        <v>3650</v>
      </c>
    </row>
    <row r="31" spans="1:25">
      <c r="A31" s="1127">
        <v>4</v>
      </c>
      <c r="B31" s="1084" t="s">
        <v>34</v>
      </c>
      <c r="C31" s="1102" t="s">
        <v>240</v>
      </c>
      <c r="D31" s="1318">
        <f t="shared" si="18"/>
        <v>522230</v>
      </c>
      <c r="E31" s="1318">
        <f t="shared" si="19"/>
        <v>185000</v>
      </c>
      <c r="F31" s="1238">
        <v>185000</v>
      </c>
      <c r="G31" s="1239">
        <v>0</v>
      </c>
      <c r="H31" s="1239">
        <v>0</v>
      </c>
      <c r="I31" s="1239">
        <v>0</v>
      </c>
      <c r="J31" s="1239"/>
      <c r="K31" s="1239"/>
      <c r="L31" s="1239">
        <v>0</v>
      </c>
      <c r="M31" s="1318">
        <f t="shared" si="20"/>
        <v>337230</v>
      </c>
      <c r="N31" s="1238">
        <v>21846</v>
      </c>
      <c r="O31" s="1238">
        <v>48400</v>
      </c>
      <c r="P31" s="1238">
        <v>14240</v>
      </c>
      <c r="Q31" s="1238">
        <v>30350</v>
      </c>
      <c r="R31" s="1238">
        <v>30516</v>
      </c>
      <c r="S31" s="1238">
        <v>37400</v>
      </c>
      <c r="T31" s="1238">
        <v>19350</v>
      </c>
      <c r="U31" s="1238">
        <v>27820</v>
      </c>
      <c r="V31" s="1238">
        <v>13920</v>
      </c>
      <c r="W31" s="1238">
        <v>58388</v>
      </c>
      <c r="X31" s="1238">
        <v>23320</v>
      </c>
      <c r="Y31" s="1238">
        <v>11680</v>
      </c>
    </row>
    <row r="32" spans="1:25">
      <c r="A32" s="1192">
        <v>5</v>
      </c>
      <c r="B32" s="1084" t="s">
        <v>34</v>
      </c>
      <c r="C32" s="1085" t="s">
        <v>236</v>
      </c>
      <c r="D32" s="1318">
        <f t="shared" si="18"/>
        <v>11628026</v>
      </c>
      <c r="E32" s="1318">
        <f t="shared" si="19"/>
        <v>1230070</v>
      </c>
      <c r="F32" s="1238">
        <v>1230070</v>
      </c>
      <c r="G32" s="1239">
        <v>0</v>
      </c>
      <c r="H32" s="1239">
        <v>0</v>
      </c>
      <c r="I32" s="1239">
        <v>0</v>
      </c>
      <c r="J32" s="1239"/>
      <c r="K32" s="1239"/>
      <c r="L32" s="1239">
        <v>0</v>
      </c>
      <c r="M32" s="1318">
        <f t="shared" si="20"/>
        <v>10397956</v>
      </c>
      <c r="N32" s="1238">
        <v>2472983</v>
      </c>
      <c r="O32" s="1238">
        <v>677210</v>
      </c>
      <c r="P32" s="1238">
        <v>845695</v>
      </c>
      <c r="Q32" s="1238">
        <v>1123086</v>
      </c>
      <c r="R32" s="1238">
        <v>1101526</v>
      </c>
      <c r="S32" s="1238">
        <v>711665</v>
      </c>
      <c r="T32" s="1238">
        <v>762900</v>
      </c>
      <c r="U32" s="1238">
        <v>330208</v>
      </c>
      <c r="V32" s="1238">
        <v>864591</v>
      </c>
      <c r="W32" s="1238">
        <v>536240</v>
      </c>
      <c r="X32" s="1238">
        <v>471069</v>
      </c>
      <c r="Y32" s="1238">
        <v>500783</v>
      </c>
    </row>
    <row r="33" spans="1:25">
      <c r="A33" s="1155">
        <v>6</v>
      </c>
      <c r="B33" s="1155" t="s">
        <v>572</v>
      </c>
      <c r="C33" s="1319" t="s">
        <v>559</v>
      </c>
      <c r="D33" s="1318">
        <f t="shared" si="18"/>
        <v>16348264</v>
      </c>
      <c r="E33" s="1318">
        <f t="shared" si="19"/>
        <v>6409702</v>
      </c>
      <c r="F33" s="1238">
        <v>0</v>
      </c>
      <c r="G33" s="1239">
        <v>0</v>
      </c>
      <c r="H33" s="1239">
        <v>6409702</v>
      </c>
      <c r="I33" s="1239">
        <v>0</v>
      </c>
      <c r="J33" s="1239"/>
      <c r="K33" s="1239"/>
      <c r="L33" s="1239">
        <v>0</v>
      </c>
      <c r="M33" s="1318">
        <f t="shared" si="20"/>
        <v>9938562</v>
      </c>
      <c r="N33" s="1238">
        <v>965276</v>
      </c>
      <c r="O33" s="1238">
        <v>332975</v>
      </c>
      <c r="P33" s="1238">
        <v>793760</v>
      </c>
      <c r="Q33" s="1238">
        <v>1372854</v>
      </c>
      <c r="R33" s="1238">
        <v>1094236</v>
      </c>
      <c r="S33" s="1238">
        <v>714553</v>
      </c>
      <c r="T33" s="1238">
        <v>1354521</v>
      </c>
      <c r="U33" s="1238">
        <v>855806</v>
      </c>
      <c r="V33" s="1238">
        <v>947364</v>
      </c>
      <c r="W33" s="1238">
        <v>441444</v>
      </c>
      <c r="X33" s="1238">
        <v>588399</v>
      </c>
      <c r="Y33" s="1238">
        <v>477374</v>
      </c>
    </row>
    <row r="34" spans="1:25" ht="36">
      <c r="A34" s="1127">
        <v>7</v>
      </c>
      <c r="B34" s="1154" t="s">
        <v>4</v>
      </c>
      <c r="C34" s="1105" t="s">
        <v>25</v>
      </c>
      <c r="D34" s="1318">
        <f t="shared" si="18"/>
        <v>598903</v>
      </c>
      <c r="E34" s="1318">
        <f t="shared" si="19"/>
        <v>196899</v>
      </c>
      <c r="F34" s="1238">
        <v>0</v>
      </c>
      <c r="G34" s="1239">
        <v>0</v>
      </c>
      <c r="H34" s="1239">
        <v>0</v>
      </c>
      <c r="I34" s="1239">
        <v>0</v>
      </c>
      <c r="J34" s="1239"/>
      <c r="K34" s="1239"/>
      <c r="L34" s="1239">
        <v>196899</v>
      </c>
      <c r="M34" s="1318">
        <f t="shared" si="20"/>
        <v>402004</v>
      </c>
      <c r="N34" s="1238">
        <v>129971</v>
      </c>
      <c r="O34" s="1238">
        <v>8000</v>
      </c>
      <c r="P34" s="1238">
        <v>4678</v>
      </c>
      <c r="Q34" s="1238">
        <v>129000</v>
      </c>
      <c r="R34" s="1238">
        <v>24080</v>
      </c>
      <c r="S34" s="1238">
        <v>26826</v>
      </c>
      <c r="T34" s="1238">
        <v>16829</v>
      </c>
      <c r="U34" s="1238">
        <v>0</v>
      </c>
      <c r="V34" s="1238">
        <v>3660</v>
      </c>
      <c r="W34" s="1238">
        <v>31950</v>
      </c>
      <c r="X34" s="1238">
        <v>5650</v>
      </c>
      <c r="Y34" s="1238">
        <v>21360</v>
      </c>
    </row>
    <row r="35" spans="1:25" ht="24">
      <c r="A35" s="1092">
        <v>8</v>
      </c>
      <c r="B35" s="1184" t="s">
        <v>34</v>
      </c>
      <c r="C35" s="1085" t="s">
        <v>533</v>
      </c>
      <c r="D35" s="1318">
        <f t="shared" si="18"/>
        <v>1850285.04</v>
      </c>
      <c r="E35" s="1318">
        <f t="shared" si="19"/>
        <v>260150</v>
      </c>
      <c r="F35" s="1238">
        <v>260150</v>
      </c>
      <c r="G35" s="1239">
        <v>0</v>
      </c>
      <c r="H35" s="1239">
        <v>0</v>
      </c>
      <c r="I35" s="1239">
        <v>0</v>
      </c>
      <c r="J35" s="1239"/>
      <c r="K35" s="1239"/>
      <c r="L35" s="1239">
        <v>0</v>
      </c>
      <c r="M35" s="1318">
        <f t="shared" si="20"/>
        <v>1590135.04</v>
      </c>
      <c r="N35" s="1238">
        <v>229848</v>
      </c>
      <c r="O35" s="1238">
        <v>62900</v>
      </c>
      <c r="P35" s="1238">
        <v>143565</v>
      </c>
      <c r="Q35" s="1238">
        <v>35600</v>
      </c>
      <c r="R35" s="1238">
        <v>95136</v>
      </c>
      <c r="S35" s="1238">
        <v>52040</v>
      </c>
      <c r="T35" s="1238">
        <v>52455</v>
      </c>
      <c r="U35" s="1238">
        <v>87264</v>
      </c>
      <c r="V35" s="1238">
        <v>666967.04000000004</v>
      </c>
      <c r="W35" s="1238">
        <v>66210</v>
      </c>
      <c r="X35" s="1238">
        <v>62650</v>
      </c>
      <c r="Y35" s="1238">
        <v>35500</v>
      </c>
    </row>
    <row r="36" spans="1:25" ht="24">
      <c r="A36" s="1092">
        <v>9</v>
      </c>
      <c r="B36" s="1184" t="s">
        <v>34</v>
      </c>
      <c r="C36" s="1085" t="s">
        <v>27</v>
      </c>
      <c r="D36" s="1318">
        <f t="shared" si="18"/>
        <v>2305067</v>
      </c>
      <c r="E36" s="1318">
        <f t="shared" si="19"/>
        <v>923000</v>
      </c>
      <c r="F36" s="1238">
        <v>923000</v>
      </c>
      <c r="G36" s="1239">
        <v>0</v>
      </c>
      <c r="H36" s="1239">
        <v>0</v>
      </c>
      <c r="I36" s="1239">
        <v>0</v>
      </c>
      <c r="J36" s="1239"/>
      <c r="K36" s="1239"/>
      <c r="L36" s="1239">
        <v>0</v>
      </c>
      <c r="M36" s="1318">
        <f t="shared" si="20"/>
        <v>1382067</v>
      </c>
      <c r="N36" s="1238">
        <v>67020</v>
      </c>
      <c r="O36" s="1238">
        <v>25500</v>
      </c>
      <c r="P36" s="1238">
        <v>85000</v>
      </c>
      <c r="Q36" s="1238">
        <v>34750</v>
      </c>
      <c r="R36" s="1238">
        <v>64890</v>
      </c>
      <c r="S36" s="1238">
        <v>78675</v>
      </c>
      <c r="T36" s="1238">
        <v>316760</v>
      </c>
      <c r="U36" s="1238">
        <v>190398</v>
      </c>
      <c r="V36" s="1238">
        <v>241874</v>
      </c>
      <c r="W36" s="1238">
        <v>129660</v>
      </c>
      <c r="X36" s="1238">
        <v>81310</v>
      </c>
      <c r="Y36" s="1238">
        <v>66230</v>
      </c>
    </row>
    <row r="37" spans="1:25" ht="24">
      <c r="A37" s="1127" t="s">
        <v>259</v>
      </c>
      <c r="B37" s="1184" t="s">
        <v>34</v>
      </c>
      <c r="C37" s="1163" t="s">
        <v>129</v>
      </c>
      <c r="D37" s="1318">
        <f t="shared" si="18"/>
        <v>1699007</v>
      </c>
      <c r="E37" s="1318">
        <f t="shared" si="19"/>
        <v>466000</v>
      </c>
      <c r="F37" s="1238">
        <v>466000</v>
      </c>
      <c r="G37" s="1239">
        <v>0</v>
      </c>
      <c r="H37" s="1239">
        <v>0</v>
      </c>
      <c r="I37" s="1239">
        <v>0</v>
      </c>
      <c r="J37" s="1239"/>
      <c r="K37" s="1239"/>
      <c r="L37" s="1239">
        <v>0</v>
      </c>
      <c r="M37" s="1318">
        <f t="shared" si="20"/>
        <v>1233007</v>
      </c>
      <c r="N37" s="1238">
        <v>56920</v>
      </c>
      <c r="O37" s="1238">
        <v>22500</v>
      </c>
      <c r="P37" s="1238">
        <v>82000</v>
      </c>
      <c r="Q37" s="1238">
        <v>21300</v>
      </c>
      <c r="R37" s="1238">
        <v>61390</v>
      </c>
      <c r="S37" s="1238">
        <v>57145</v>
      </c>
      <c r="T37" s="1238">
        <v>301740</v>
      </c>
      <c r="U37" s="1238">
        <v>177478</v>
      </c>
      <c r="V37" s="1238">
        <v>227714</v>
      </c>
      <c r="W37" s="1238">
        <v>103460</v>
      </c>
      <c r="X37" s="1238">
        <v>74310</v>
      </c>
      <c r="Y37" s="1238">
        <v>47050</v>
      </c>
    </row>
    <row r="38" spans="1:25">
      <c r="A38" s="1127" t="s">
        <v>260</v>
      </c>
      <c r="B38" s="1184" t="s">
        <v>34</v>
      </c>
      <c r="C38" s="1163" t="s">
        <v>130</v>
      </c>
      <c r="D38" s="1318">
        <f t="shared" si="18"/>
        <v>606060</v>
      </c>
      <c r="E38" s="1318">
        <f t="shared" si="19"/>
        <v>457000</v>
      </c>
      <c r="F38" s="1238">
        <v>457000</v>
      </c>
      <c r="G38" s="1239">
        <v>0</v>
      </c>
      <c r="H38" s="1239">
        <v>0</v>
      </c>
      <c r="I38" s="1239">
        <v>0</v>
      </c>
      <c r="J38" s="1239"/>
      <c r="K38" s="1239"/>
      <c r="L38" s="1239">
        <v>0</v>
      </c>
      <c r="M38" s="1318">
        <f t="shared" si="20"/>
        <v>149060</v>
      </c>
      <c r="N38" s="1238">
        <v>10100</v>
      </c>
      <c r="O38" s="1238">
        <v>3000</v>
      </c>
      <c r="P38" s="1238">
        <v>3000</v>
      </c>
      <c r="Q38" s="1238">
        <v>13450</v>
      </c>
      <c r="R38" s="1238">
        <v>3500</v>
      </c>
      <c r="S38" s="1238">
        <v>21530</v>
      </c>
      <c r="T38" s="1238">
        <v>15020</v>
      </c>
      <c r="U38" s="1238">
        <v>12920</v>
      </c>
      <c r="V38" s="1238">
        <v>14160</v>
      </c>
      <c r="W38" s="1238">
        <v>26200</v>
      </c>
      <c r="X38" s="1238">
        <v>7000</v>
      </c>
      <c r="Y38" s="1238">
        <v>19180</v>
      </c>
    </row>
    <row r="39" spans="1:25">
      <c r="A39" s="1192">
        <v>10</v>
      </c>
      <c r="B39" s="1184" t="s">
        <v>34</v>
      </c>
      <c r="C39" s="1085" t="s">
        <v>238</v>
      </c>
      <c r="D39" s="1318">
        <f t="shared" si="18"/>
        <v>1067087</v>
      </c>
      <c r="E39" s="1318">
        <f t="shared" si="19"/>
        <v>450000</v>
      </c>
      <c r="F39" s="1238">
        <v>450000</v>
      </c>
      <c r="G39" s="1239">
        <v>0</v>
      </c>
      <c r="H39" s="1239">
        <v>0</v>
      </c>
      <c r="I39" s="1239">
        <v>0</v>
      </c>
      <c r="J39" s="1239"/>
      <c r="K39" s="1239"/>
      <c r="L39" s="1239">
        <v>0</v>
      </c>
      <c r="M39" s="1318">
        <f t="shared" si="20"/>
        <v>617087</v>
      </c>
      <c r="N39" s="1238">
        <v>123400</v>
      </c>
      <c r="O39" s="1238">
        <v>90000</v>
      </c>
      <c r="P39" s="1238">
        <v>8700</v>
      </c>
      <c r="Q39" s="1238">
        <v>24220</v>
      </c>
      <c r="R39" s="1238">
        <v>55180</v>
      </c>
      <c r="S39" s="1238">
        <v>42000</v>
      </c>
      <c r="T39" s="1238">
        <v>4547</v>
      </c>
      <c r="U39" s="1238">
        <v>32440</v>
      </c>
      <c r="V39" s="1238">
        <v>41826</v>
      </c>
      <c r="W39" s="1238">
        <v>34010</v>
      </c>
      <c r="X39" s="1238">
        <v>85764</v>
      </c>
      <c r="Y39" s="1238">
        <v>75000</v>
      </c>
    </row>
    <row r="40" spans="1:25" ht="36">
      <c r="A40" s="1092" t="s">
        <v>583</v>
      </c>
      <c r="B40" s="1184" t="s">
        <v>34</v>
      </c>
      <c r="C40" s="1085" t="s">
        <v>28</v>
      </c>
      <c r="D40" s="1318">
        <f t="shared" si="18"/>
        <v>20000</v>
      </c>
      <c r="E40" s="1318">
        <f t="shared" si="19"/>
        <v>20000</v>
      </c>
      <c r="F40" s="1238">
        <v>20000</v>
      </c>
      <c r="G40" s="1239">
        <v>0</v>
      </c>
      <c r="H40" s="1239">
        <v>0</v>
      </c>
      <c r="I40" s="1239">
        <v>0</v>
      </c>
      <c r="J40" s="1239"/>
      <c r="K40" s="1239"/>
      <c r="L40" s="1239">
        <v>0</v>
      </c>
      <c r="M40" s="1318">
        <f t="shared" si="20"/>
        <v>0</v>
      </c>
      <c r="N40" s="1238">
        <v>0</v>
      </c>
      <c r="O40" s="1238">
        <v>0</v>
      </c>
      <c r="P40" s="1238">
        <v>0</v>
      </c>
      <c r="Q40" s="1238">
        <v>0</v>
      </c>
      <c r="R40" s="1238">
        <v>0</v>
      </c>
      <c r="S40" s="1238">
        <v>0</v>
      </c>
      <c r="T40" s="1238">
        <v>0</v>
      </c>
      <c r="U40" s="1238">
        <v>0</v>
      </c>
      <c r="V40" s="1238">
        <v>0</v>
      </c>
      <c r="W40" s="1238">
        <v>0</v>
      </c>
      <c r="X40" s="1238">
        <v>0</v>
      </c>
      <c r="Y40" s="1238">
        <v>0</v>
      </c>
    </row>
    <row r="41" spans="1:25">
      <c r="A41" s="1320" t="s">
        <v>584</v>
      </c>
      <c r="B41" s="1184" t="s">
        <v>1</v>
      </c>
      <c r="C41" s="1185"/>
      <c r="D41" s="1318">
        <f t="shared" si="18"/>
        <v>1974947</v>
      </c>
      <c r="E41" s="1318">
        <f t="shared" si="19"/>
        <v>1357860</v>
      </c>
      <c r="F41" s="1238">
        <v>0</v>
      </c>
      <c r="G41" s="1239">
        <v>1357860</v>
      </c>
      <c r="H41" s="1239">
        <v>0</v>
      </c>
      <c r="I41" s="1239">
        <v>0</v>
      </c>
      <c r="J41" s="1239"/>
      <c r="K41" s="1239"/>
      <c r="L41" s="1239">
        <v>0</v>
      </c>
      <c r="M41" s="1318">
        <f t="shared" si="20"/>
        <v>617087</v>
      </c>
      <c r="N41" s="1238">
        <v>123400</v>
      </c>
      <c r="O41" s="1238">
        <v>90000</v>
      </c>
      <c r="P41" s="1238">
        <v>8700</v>
      </c>
      <c r="Q41" s="1238">
        <v>24220</v>
      </c>
      <c r="R41" s="1238">
        <v>55180</v>
      </c>
      <c r="S41" s="1238">
        <v>42000</v>
      </c>
      <c r="T41" s="1238">
        <v>4547</v>
      </c>
      <c r="U41" s="1238">
        <v>32440</v>
      </c>
      <c r="V41" s="1238">
        <v>41826</v>
      </c>
      <c r="W41" s="1238">
        <v>34010</v>
      </c>
      <c r="X41" s="1238">
        <v>85764</v>
      </c>
      <c r="Y41" s="1238">
        <v>75000</v>
      </c>
    </row>
    <row r="42" spans="1:25" ht="36">
      <c r="A42" s="1092" t="s">
        <v>255</v>
      </c>
      <c r="B42" s="1184" t="s">
        <v>34</v>
      </c>
      <c r="C42" s="1105" t="s">
        <v>30</v>
      </c>
      <c r="D42" s="1318">
        <f t="shared" si="18"/>
        <v>430000</v>
      </c>
      <c r="E42" s="1318">
        <f t="shared" si="19"/>
        <v>430000</v>
      </c>
      <c r="F42" s="1238">
        <v>430000</v>
      </c>
      <c r="G42" s="1239">
        <v>0</v>
      </c>
      <c r="H42" s="1239">
        <v>0</v>
      </c>
      <c r="I42" s="1239">
        <v>0</v>
      </c>
      <c r="J42" s="1239"/>
      <c r="K42" s="1239"/>
      <c r="L42" s="1239">
        <v>0</v>
      </c>
      <c r="M42" s="1318">
        <f t="shared" si="20"/>
        <v>0</v>
      </c>
      <c r="N42" s="1238">
        <v>0</v>
      </c>
      <c r="O42" s="1238">
        <v>0</v>
      </c>
      <c r="P42" s="1238">
        <v>0</v>
      </c>
      <c r="Q42" s="1238">
        <v>0</v>
      </c>
      <c r="R42" s="1238">
        <v>0</v>
      </c>
      <c r="S42" s="1238">
        <v>0</v>
      </c>
      <c r="T42" s="1238">
        <v>0</v>
      </c>
      <c r="U42" s="1238">
        <v>0</v>
      </c>
      <c r="V42" s="1238">
        <v>0</v>
      </c>
      <c r="W42" s="1238">
        <v>0</v>
      </c>
      <c r="X42" s="1238">
        <v>0</v>
      </c>
      <c r="Y42" s="1238">
        <v>0</v>
      </c>
    </row>
    <row r="43" spans="1:25">
      <c r="A43" s="1192">
        <v>11</v>
      </c>
      <c r="B43" s="1184" t="s">
        <v>34</v>
      </c>
      <c r="C43" s="1085" t="s">
        <v>312</v>
      </c>
      <c r="D43" s="1318">
        <f t="shared" si="18"/>
        <v>3797686</v>
      </c>
      <c r="E43" s="1318">
        <f t="shared" si="19"/>
        <v>2713000</v>
      </c>
      <c r="F43" s="1238">
        <v>2713000</v>
      </c>
      <c r="G43" s="1239">
        <v>0</v>
      </c>
      <c r="H43" s="1239">
        <v>0</v>
      </c>
      <c r="I43" s="1239">
        <v>0</v>
      </c>
      <c r="J43" s="1239"/>
      <c r="K43" s="1239"/>
      <c r="L43" s="1239">
        <v>0</v>
      </c>
      <c r="M43" s="1318">
        <f t="shared" si="20"/>
        <v>1084686</v>
      </c>
      <c r="N43" s="1238">
        <v>235000</v>
      </c>
      <c r="O43" s="1238">
        <v>36000</v>
      </c>
      <c r="P43" s="1238">
        <v>2400</v>
      </c>
      <c r="Q43" s="1238">
        <v>43390</v>
      </c>
      <c r="R43" s="1238">
        <v>63376</v>
      </c>
      <c r="S43" s="1238">
        <v>72110</v>
      </c>
      <c r="T43" s="1238">
        <v>90500</v>
      </c>
      <c r="U43" s="1238">
        <v>106130</v>
      </c>
      <c r="V43" s="1238">
        <v>230620</v>
      </c>
      <c r="W43" s="1238">
        <v>28000</v>
      </c>
      <c r="X43" s="1238">
        <v>94116</v>
      </c>
      <c r="Y43" s="1238">
        <v>83044</v>
      </c>
    </row>
    <row r="44" spans="1:25" ht="24">
      <c r="A44" s="1321">
        <v>12</v>
      </c>
      <c r="B44" s="1184" t="s">
        <v>34</v>
      </c>
      <c r="C44" s="1302" t="s">
        <v>22</v>
      </c>
      <c r="D44" s="1318">
        <f t="shared" si="18"/>
        <v>1885552.2</v>
      </c>
      <c r="E44" s="1318">
        <f t="shared" si="19"/>
        <v>380000</v>
      </c>
      <c r="F44" s="1238">
        <v>380000</v>
      </c>
      <c r="G44" s="1239">
        <v>0</v>
      </c>
      <c r="H44" s="1239">
        <v>0</v>
      </c>
      <c r="I44" s="1239">
        <v>0</v>
      </c>
      <c r="J44" s="1239"/>
      <c r="K44" s="1239"/>
      <c r="L44" s="1239">
        <v>0</v>
      </c>
      <c r="M44" s="1318">
        <f t="shared" si="20"/>
        <v>1505552.2</v>
      </c>
      <c r="N44" s="1238">
        <v>486181</v>
      </c>
      <c r="O44" s="1238">
        <v>37314</v>
      </c>
      <c r="P44" s="1238">
        <v>21344</v>
      </c>
      <c r="Q44" s="1238">
        <v>109438</v>
      </c>
      <c r="R44" s="1238">
        <v>139600</v>
      </c>
      <c r="S44" s="1238">
        <v>41214.199999999997</v>
      </c>
      <c r="T44" s="1238">
        <v>109104</v>
      </c>
      <c r="U44" s="1238">
        <v>178678</v>
      </c>
      <c r="V44" s="1238">
        <v>152939</v>
      </c>
      <c r="W44" s="1238">
        <v>110300</v>
      </c>
      <c r="X44" s="1238">
        <v>58700</v>
      </c>
      <c r="Y44" s="1238">
        <v>60740</v>
      </c>
    </row>
    <row r="45" spans="1:25" ht="24">
      <c r="A45" s="1192">
        <v>13</v>
      </c>
      <c r="B45" s="1205" t="s">
        <v>582</v>
      </c>
      <c r="C45" s="1203" t="s">
        <v>256</v>
      </c>
      <c r="D45" s="1318">
        <f t="shared" si="18"/>
        <v>100000</v>
      </c>
      <c r="E45" s="1318">
        <f t="shared" si="19"/>
        <v>100000</v>
      </c>
      <c r="F45" s="1238">
        <v>0</v>
      </c>
      <c r="G45" s="1239">
        <v>0</v>
      </c>
      <c r="H45" s="1239">
        <v>0</v>
      </c>
      <c r="I45" s="1239">
        <v>100000</v>
      </c>
      <c r="J45" s="1239"/>
      <c r="K45" s="1239"/>
      <c r="L45" s="1239">
        <v>0</v>
      </c>
      <c r="M45" s="1318">
        <f t="shared" si="20"/>
        <v>0</v>
      </c>
      <c r="N45" s="1238">
        <v>0</v>
      </c>
      <c r="O45" s="1238">
        <v>0</v>
      </c>
      <c r="P45" s="1238">
        <v>0</v>
      </c>
      <c r="Q45" s="1238">
        <v>0</v>
      </c>
      <c r="R45" s="1238">
        <v>0</v>
      </c>
      <c r="S45" s="1238">
        <v>0</v>
      </c>
      <c r="T45" s="1238">
        <v>0</v>
      </c>
      <c r="U45" s="1238">
        <v>0</v>
      </c>
      <c r="V45" s="1238">
        <v>0</v>
      </c>
      <c r="W45" s="1238">
        <v>0</v>
      </c>
      <c r="X45" s="1238">
        <v>0</v>
      </c>
      <c r="Y45" s="1238">
        <v>0</v>
      </c>
    </row>
    <row r="46" spans="1:25">
      <c r="A46" s="1192">
        <v>14</v>
      </c>
      <c r="B46" s="1205" t="s">
        <v>582</v>
      </c>
      <c r="C46" s="1203" t="s">
        <v>239</v>
      </c>
      <c r="D46" s="1318">
        <f t="shared" si="18"/>
        <v>104920</v>
      </c>
      <c r="E46" s="1318">
        <f t="shared" si="19"/>
        <v>104920</v>
      </c>
      <c r="F46" s="1238">
        <v>0</v>
      </c>
      <c r="G46" s="1239">
        <v>0</v>
      </c>
      <c r="H46" s="1239">
        <v>0</v>
      </c>
      <c r="I46" s="1239">
        <v>104920</v>
      </c>
      <c r="J46" s="1239"/>
      <c r="K46" s="1239"/>
      <c r="L46" s="1239">
        <v>0</v>
      </c>
      <c r="M46" s="1318">
        <f t="shared" si="20"/>
        <v>0</v>
      </c>
      <c r="N46" s="1238">
        <v>0</v>
      </c>
      <c r="O46" s="1238">
        <v>0</v>
      </c>
      <c r="P46" s="1238">
        <v>0</v>
      </c>
      <c r="Q46" s="1238">
        <v>0</v>
      </c>
      <c r="R46" s="1238">
        <v>0</v>
      </c>
      <c r="S46" s="1238">
        <v>0</v>
      </c>
      <c r="T46" s="1238">
        <v>0</v>
      </c>
      <c r="U46" s="1238">
        <v>0</v>
      </c>
      <c r="V46" s="1238">
        <v>0</v>
      </c>
      <c r="W46" s="1238">
        <v>0</v>
      </c>
      <c r="X46" s="1238">
        <v>0</v>
      </c>
      <c r="Y46" s="1238">
        <v>0</v>
      </c>
    </row>
    <row r="47" spans="1:25" ht="36">
      <c r="A47" s="1092">
        <v>15</v>
      </c>
      <c r="B47" s="1184" t="s">
        <v>34</v>
      </c>
      <c r="C47" s="1202" t="s">
        <v>32</v>
      </c>
      <c r="D47" s="1318">
        <f t="shared" si="18"/>
        <v>492069</v>
      </c>
      <c r="E47" s="1318">
        <f t="shared" si="19"/>
        <v>217000</v>
      </c>
      <c r="F47" s="1238">
        <v>217000</v>
      </c>
      <c r="G47" s="1239">
        <v>0</v>
      </c>
      <c r="H47" s="1239">
        <v>0</v>
      </c>
      <c r="I47" s="1239">
        <v>0</v>
      </c>
      <c r="J47" s="1239"/>
      <c r="K47" s="1239"/>
      <c r="L47" s="1239">
        <v>0</v>
      </c>
      <c r="M47" s="1318">
        <f t="shared" si="20"/>
        <v>275069</v>
      </c>
      <c r="N47" s="1238">
        <v>14200</v>
      </c>
      <c r="O47" s="1238">
        <v>20500</v>
      </c>
      <c r="P47" s="1238">
        <v>27080</v>
      </c>
      <c r="Q47" s="1238">
        <v>34836</v>
      </c>
      <c r="R47" s="1238">
        <v>48736</v>
      </c>
      <c r="S47" s="1238">
        <v>19930</v>
      </c>
      <c r="T47" s="1238">
        <v>23560</v>
      </c>
      <c r="U47" s="1238">
        <v>1220</v>
      </c>
      <c r="V47" s="1238">
        <v>17950</v>
      </c>
      <c r="W47" s="1238">
        <v>27000</v>
      </c>
      <c r="X47" s="1238">
        <v>22997</v>
      </c>
      <c r="Y47" s="1238">
        <v>17060</v>
      </c>
    </row>
    <row r="48" spans="1:25">
      <c r="A48" s="1092">
        <v>16</v>
      </c>
      <c r="B48" s="1184" t="s">
        <v>34</v>
      </c>
      <c r="C48" s="1202" t="s">
        <v>257</v>
      </c>
      <c r="D48" s="1318">
        <f t="shared" si="18"/>
        <v>430000</v>
      </c>
      <c r="E48" s="1318">
        <f t="shared" si="19"/>
        <v>430000</v>
      </c>
      <c r="F48" s="1238">
        <v>430000</v>
      </c>
      <c r="G48" s="1239">
        <v>0</v>
      </c>
      <c r="H48" s="1239">
        <v>0</v>
      </c>
      <c r="I48" s="1239">
        <v>0</v>
      </c>
      <c r="J48" s="1239"/>
      <c r="K48" s="1239"/>
      <c r="L48" s="1239">
        <v>0</v>
      </c>
      <c r="M48" s="1318">
        <f t="shared" si="20"/>
        <v>0</v>
      </c>
      <c r="N48" s="1238">
        <v>0</v>
      </c>
      <c r="O48" s="1238">
        <v>0</v>
      </c>
      <c r="P48" s="1238">
        <v>0</v>
      </c>
      <c r="Q48" s="1238">
        <v>0</v>
      </c>
      <c r="R48" s="1238">
        <v>0</v>
      </c>
      <c r="S48" s="1238">
        <v>0</v>
      </c>
      <c r="T48" s="1238">
        <v>0</v>
      </c>
      <c r="U48" s="1238">
        <v>0</v>
      </c>
      <c r="V48" s="1238">
        <v>0</v>
      </c>
      <c r="W48" s="1238">
        <v>0</v>
      </c>
      <c r="X48" s="1238">
        <v>0</v>
      </c>
      <c r="Y48" s="1238">
        <v>0</v>
      </c>
    </row>
    <row r="49" spans="1:25" ht="24">
      <c r="A49" s="1092">
        <v>17</v>
      </c>
      <c r="B49" s="1184" t="s">
        <v>34</v>
      </c>
      <c r="C49" s="1202" t="s">
        <v>193</v>
      </c>
      <c r="D49" s="1318">
        <f t="shared" si="18"/>
        <v>434616</v>
      </c>
      <c r="E49" s="1318">
        <f t="shared" si="19"/>
        <v>180000</v>
      </c>
      <c r="F49" s="1238">
        <v>180000</v>
      </c>
      <c r="G49" s="1239">
        <v>0</v>
      </c>
      <c r="H49" s="1239">
        <v>0</v>
      </c>
      <c r="I49" s="1239">
        <v>0</v>
      </c>
      <c r="J49" s="1239"/>
      <c r="K49" s="1239"/>
      <c r="L49" s="1239">
        <v>0</v>
      </c>
      <c r="M49" s="1318">
        <f t="shared" si="20"/>
        <v>254616</v>
      </c>
      <c r="N49" s="1238">
        <v>17180</v>
      </c>
      <c r="O49" s="1238">
        <v>17000</v>
      </c>
      <c r="P49" s="1238">
        <v>19844</v>
      </c>
      <c r="Q49" s="1238">
        <v>47240</v>
      </c>
      <c r="R49" s="1238">
        <v>18077</v>
      </c>
      <c r="S49" s="1238">
        <v>17860</v>
      </c>
      <c r="T49" s="1238">
        <v>30560</v>
      </c>
      <c r="U49" s="1238">
        <v>35080</v>
      </c>
      <c r="V49" s="1238">
        <v>13175</v>
      </c>
      <c r="W49" s="1238">
        <v>20550</v>
      </c>
      <c r="X49" s="1238">
        <v>9260</v>
      </c>
      <c r="Y49" s="1238">
        <v>8790</v>
      </c>
    </row>
    <row r="50" spans="1:25">
      <c r="A50" s="1092">
        <v>18</v>
      </c>
      <c r="B50" s="1184" t="s">
        <v>34</v>
      </c>
      <c r="C50" s="1105" t="s">
        <v>33</v>
      </c>
      <c r="D50" s="1318">
        <f t="shared" si="18"/>
        <v>848822</v>
      </c>
      <c r="E50" s="1318">
        <f t="shared" si="19"/>
        <v>270000</v>
      </c>
      <c r="F50" s="1238">
        <v>270000</v>
      </c>
      <c r="G50" s="1239">
        <v>0</v>
      </c>
      <c r="H50" s="1239">
        <v>0</v>
      </c>
      <c r="I50" s="1239">
        <v>0</v>
      </c>
      <c r="J50" s="1239"/>
      <c r="K50" s="1239"/>
      <c r="L50" s="1239">
        <v>0</v>
      </c>
      <c r="M50" s="1318">
        <f t="shared" si="20"/>
        <v>578822</v>
      </c>
      <c r="N50" s="1238">
        <v>12040</v>
      </c>
      <c r="O50" s="1238">
        <v>58800</v>
      </c>
      <c r="P50" s="1238">
        <v>42090</v>
      </c>
      <c r="Q50" s="1238">
        <v>77290</v>
      </c>
      <c r="R50" s="1238">
        <v>60036</v>
      </c>
      <c r="S50" s="1238">
        <v>10920</v>
      </c>
      <c r="T50" s="1238">
        <v>37660</v>
      </c>
      <c r="U50" s="1238">
        <v>43400</v>
      </c>
      <c r="V50" s="1238">
        <v>47166</v>
      </c>
      <c r="W50" s="1238">
        <v>88970</v>
      </c>
      <c r="X50" s="1238">
        <v>73050</v>
      </c>
      <c r="Y50" s="1238">
        <v>27400</v>
      </c>
    </row>
    <row r="51" spans="1:25">
      <c r="A51" s="1092">
        <v>19</v>
      </c>
      <c r="B51" s="1184"/>
      <c r="C51" s="1105" t="s">
        <v>241</v>
      </c>
      <c r="D51" s="1318">
        <f t="shared" si="18"/>
        <v>4369187</v>
      </c>
      <c r="E51" s="1318">
        <f t="shared" si="19"/>
        <v>2867525</v>
      </c>
      <c r="F51" s="1238">
        <v>1944125</v>
      </c>
      <c r="G51" s="1239">
        <v>278900</v>
      </c>
      <c r="H51" s="1239">
        <v>574500</v>
      </c>
      <c r="I51" s="1239">
        <v>70000</v>
      </c>
      <c r="J51" s="1239"/>
      <c r="K51" s="1239"/>
      <c r="L51" s="1239">
        <v>0</v>
      </c>
      <c r="M51" s="1318">
        <f t="shared" si="20"/>
        <v>1501662</v>
      </c>
      <c r="N51" s="1238">
        <v>285970</v>
      </c>
      <c r="O51" s="1238">
        <v>50400</v>
      </c>
      <c r="P51" s="1238">
        <v>105040</v>
      </c>
      <c r="Q51" s="1238">
        <v>23900</v>
      </c>
      <c r="R51" s="1238">
        <v>126974</v>
      </c>
      <c r="S51" s="1238">
        <v>136148</v>
      </c>
      <c r="T51" s="1238">
        <v>72867</v>
      </c>
      <c r="U51" s="1238">
        <v>264998</v>
      </c>
      <c r="V51" s="1238">
        <v>165880</v>
      </c>
      <c r="W51" s="1238">
        <v>53755</v>
      </c>
      <c r="X51" s="1238">
        <v>65030</v>
      </c>
      <c r="Y51" s="1238">
        <v>150700</v>
      </c>
    </row>
    <row r="52" spans="1:25" ht="24">
      <c r="A52" s="1092" t="s">
        <v>268</v>
      </c>
      <c r="B52" s="1184" t="s">
        <v>34</v>
      </c>
      <c r="C52" s="1105" t="s">
        <v>262</v>
      </c>
      <c r="D52" s="1318">
        <f t="shared" si="18"/>
        <v>2910352</v>
      </c>
      <c r="E52" s="1318">
        <f t="shared" si="19"/>
        <v>1944125</v>
      </c>
      <c r="F52" s="1238">
        <v>1944125</v>
      </c>
      <c r="G52" s="1239">
        <v>0</v>
      </c>
      <c r="H52" s="1239">
        <v>0</v>
      </c>
      <c r="I52" s="1239">
        <v>0</v>
      </c>
      <c r="J52" s="1239"/>
      <c r="K52" s="1239"/>
      <c r="L52" s="1239">
        <v>0</v>
      </c>
      <c r="M52" s="1318">
        <f t="shared" si="20"/>
        <v>966227</v>
      </c>
      <c r="N52" s="1238">
        <v>102090</v>
      </c>
      <c r="O52" s="1238">
        <v>8000</v>
      </c>
      <c r="P52" s="1238">
        <v>93040</v>
      </c>
      <c r="Q52" s="1238">
        <v>12900</v>
      </c>
      <c r="R52" s="1238">
        <v>74894</v>
      </c>
      <c r="S52" s="1238">
        <v>116948</v>
      </c>
      <c r="T52" s="1238">
        <v>28352</v>
      </c>
      <c r="U52" s="1238">
        <v>239278</v>
      </c>
      <c r="V52" s="1238">
        <v>123360</v>
      </c>
      <c r="W52" s="1238">
        <v>43755</v>
      </c>
      <c r="X52" s="1238">
        <v>33110</v>
      </c>
      <c r="Y52" s="1238">
        <v>90500</v>
      </c>
    </row>
    <row r="53" spans="1:25" ht="24">
      <c r="A53" s="1092" t="s">
        <v>269</v>
      </c>
      <c r="B53" s="1184" t="s">
        <v>1</v>
      </c>
      <c r="C53" s="1105" t="s">
        <v>263</v>
      </c>
      <c r="D53" s="1318">
        <f t="shared" si="18"/>
        <v>628435</v>
      </c>
      <c r="E53" s="1318">
        <f t="shared" si="19"/>
        <v>278900</v>
      </c>
      <c r="F53" s="1238">
        <v>0</v>
      </c>
      <c r="G53" s="1239">
        <v>278900</v>
      </c>
      <c r="H53" s="1239">
        <v>0</v>
      </c>
      <c r="I53" s="1239">
        <v>0</v>
      </c>
      <c r="J53" s="1239"/>
      <c r="K53" s="1239"/>
      <c r="L53" s="1239">
        <v>0</v>
      </c>
      <c r="M53" s="1318">
        <f t="shared" si="20"/>
        <v>349535</v>
      </c>
      <c r="N53" s="1238">
        <v>148500</v>
      </c>
      <c r="O53" s="1238">
        <v>34000</v>
      </c>
      <c r="P53" s="1238">
        <v>2000</v>
      </c>
      <c r="Q53" s="1238">
        <v>0</v>
      </c>
      <c r="R53" s="1238">
        <v>5880</v>
      </c>
      <c r="S53" s="1238">
        <v>10000</v>
      </c>
      <c r="T53" s="1238">
        <v>32715</v>
      </c>
      <c r="U53" s="1238">
        <v>15520</v>
      </c>
      <c r="V53" s="1238">
        <v>31720</v>
      </c>
      <c r="W53" s="1238">
        <v>0</v>
      </c>
      <c r="X53" s="1238">
        <v>19200</v>
      </c>
      <c r="Y53" s="1238">
        <v>50000</v>
      </c>
    </row>
    <row r="54" spans="1:25" ht="24">
      <c r="A54" s="1092" t="s">
        <v>270</v>
      </c>
      <c r="B54" s="1184" t="s">
        <v>2</v>
      </c>
      <c r="C54" s="1105" t="s">
        <v>264</v>
      </c>
      <c r="D54" s="1318">
        <f t="shared" si="18"/>
        <v>760400</v>
      </c>
      <c r="E54" s="1318">
        <f t="shared" si="19"/>
        <v>574500</v>
      </c>
      <c r="F54" s="1238">
        <v>0</v>
      </c>
      <c r="G54" s="1239">
        <v>0</v>
      </c>
      <c r="H54" s="1239">
        <v>574500</v>
      </c>
      <c r="I54" s="1239">
        <v>0</v>
      </c>
      <c r="J54" s="1239"/>
      <c r="K54" s="1239"/>
      <c r="L54" s="1239">
        <v>0</v>
      </c>
      <c r="M54" s="1318">
        <f t="shared" si="20"/>
        <v>185900</v>
      </c>
      <c r="N54" s="1238">
        <v>35380</v>
      </c>
      <c r="O54" s="1238">
        <v>8400</v>
      </c>
      <c r="P54" s="1238">
        <v>10000</v>
      </c>
      <c r="Q54" s="1238">
        <v>11000</v>
      </c>
      <c r="R54" s="1238">
        <v>46200</v>
      </c>
      <c r="S54" s="1238">
        <v>9200</v>
      </c>
      <c r="T54" s="1238">
        <v>11800</v>
      </c>
      <c r="U54" s="1238">
        <v>10200</v>
      </c>
      <c r="V54" s="1238">
        <v>10800</v>
      </c>
      <c r="W54" s="1238">
        <v>10000</v>
      </c>
      <c r="X54" s="1238">
        <v>12720</v>
      </c>
      <c r="Y54" s="1238">
        <v>10200</v>
      </c>
    </row>
    <row r="55" spans="1:25" ht="60">
      <c r="A55" s="1322" t="s">
        <v>271</v>
      </c>
      <c r="B55" s="1222" t="s">
        <v>582</v>
      </c>
      <c r="C55" s="1323" t="s">
        <v>280</v>
      </c>
      <c r="D55" s="1318">
        <f t="shared" si="18"/>
        <v>70000</v>
      </c>
      <c r="E55" s="1318">
        <f t="shared" si="19"/>
        <v>70000</v>
      </c>
      <c r="F55" s="1242">
        <v>0</v>
      </c>
      <c r="G55" s="1243">
        <v>0</v>
      </c>
      <c r="H55" s="1243">
        <v>0</v>
      </c>
      <c r="I55" s="1243">
        <v>70000</v>
      </c>
      <c r="J55" s="1243"/>
      <c r="K55" s="1243"/>
      <c r="L55" s="1243">
        <v>0</v>
      </c>
      <c r="M55" s="1318">
        <f t="shared" si="20"/>
        <v>0</v>
      </c>
      <c r="N55" s="1242">
        <v>0</v>
      </c>
      <c r="O55" s="1242">
        <v>0</v>
      </c>
      <c r="P55" s="1242">
        <v>0</v>
      </c>
      <c r="Q55" s="1242">
        <v>0</v>
      </c>
      <c r="R55" s="1242">
        <v>0</v>
      </c>
      <c r="S55" s="1242">
        <v>0</v>
      </c>
      <c r="T55" s="1242">
        <v>0</v>
      </c>
      <c r="U55" s="1242">
        <v>0</v>
      </c>
      <c r="V55" s="1242">
        <v>0</v>
      </c>
      <c r="W55" s="1242">
        <v>0</v>
      </c>
      <c r="X55" s="1242">
        <v>0</v>
      </c>
      <c r="Y55" s="1242">
        <v>0</v>
      </c>
    </row>
    <row r="56" spans="1:25" ht="24">
      <c r="A56" s="1192">
        <v>20</v>
      </c>
      <c r="B56" s="1222"/>
      <c r="C56" s="1085" t="s">
        <v>242</v>
      </c>
      <c r="D56" s="1318">
        <f t="shared" si="18"/>
        <v>91158</v>
      </c>
      <c r="E56" s="1318">
        <f t="shared" si="19"/>
        <v>50000</v>
      </c>
      <c r="F56" s="1238">
        <v>50000</v>
      </c>
      <c r="G56" s="1239">
        <v>0</v>
      </c>
      <c r="H56" s="1239">
        <v>0</v>
      </c>
      <c r="I56" s="1239">
        <v>0</v>
      </c>
      <c r="J56" s="1239"/>
      <c r="K56" s="1239"/>
      <c r="L56" s="1239">
        <v>0</v>
      </c>
      <c r="M56" s="1318">
        <f t="shared" si="20"/>
        <v>41158</v>
      </c>
      <c r="N56" s="1238">
        <v>3840</v>
      </c>
      <c r="O56" s="1238">
        <v>0</v>
      </c>
      <c r="P56" s="1238">
        <v>1600</v>
      </c>
      <c r="Q56" s="1238">
        <v>2400</v>
      </c>
      <c r="R56" s="1238">
        <v>6736</v>
      </c>
      <c r="S56" s="1238">
        <v>1280</v>
      </c>
      <c r="T56" s="1238">
        <v>1520</v>
      </c>
      <c r="U56" s="1238">
        <v>0</v>
      </c>
      <c r="V56" s="1238">
        <v>10392</v>
      </c>
      <c r="W56" s="1238">
        <v>8000</v>
      </c>
      <c r="X56" s="1238">
        <v>0</v>
      </c>
      <c r="Y56" s="1238">
        <v>5390</v>
      </c>
    </row>
    <row r="57" spans="1:25" ht="36">
      <c r="A57" s="1192" t="s">
        <v>281</v>
      </c>
      <c r="B57" s="1205" t="s">
        <v>34</v>
      </c>
      <c r="C57" s="1105" t="s">
        <v>265</v>
      </c>
      <c r="D57" s="1318">
        <f t="shared" si="18"/>
        <v>91158</v>
      </c>
      <c r="E57" s="1318">
        <f t="shared" si="19"/>
        <v>50000</v>
      </c>
      <c r="F57" s="1238">
        <v>50000</v>
      </c>
      <c r="G57" s="1239">
        <v>0</v>
      </c>
      <c r="H57" s="1239">
        <v>0</v>
      </c>
      <c r="I57" s="1239">
        <v>0</v>
      </c>
      <c r="J57" s="1239"/>
      <c r="K57" s="1239"/>
      <c r="L57" s="1239">
        <v>0</v>
      </c>
      <c r="M57" s="1318">
        <f t="shared" si="20"/>
        <v>41158</v>
      </c>
      <c r="N57" s="1238">
        <v>3840</v>
      </c>
      <c r="O57" s="1238">
        <v>0</v>
      </c>
      <c r="P57" s="1238">
        <v>1600</v>
      </c>
      <c r="Q57" s="1238">
        <v>2400</v>
      </c>
      <c r="R57" s="1238">
        <v>6736</v>
      </c>
      <c r="S57" s="1238">
        <v>1280</v>
      </c>
      <c r="T57" s="1238">
        <v>1520</v>
      </c>
      <c r="U57" s="1238">
        <v>0</v>
      </c>
      <c r="V57" s="1238">
        <v>10392</v>
      </c>
      <c r="W57" s="1238">
        <v>8000</v>
      </c>
      <c r="X57" s="1238">
        <v>0</v>
      </c>
      <c r="Y57" s="1238">
        <v>5390</v>
      </c>
    </row>
    <row r="58" spans="1:25" ht="36">
      <c r="A58" s="1127" t="s">
        <v>282</v>
      </c>
      <c r="B58" s="1154" t="s">
        <v>1</v>
      </c>
      <c r="C58" s="1105" t="s">
        <v>266</v>
      </c>
      <c r="D58" s="1318">
        <f t="shared" si="18"/>
        <v>1538731</v>
      </c>
      <c r="E58" s="1318">
        <f t="shared" si="19"/>
        <v>1028240</v>
      </c>
      <c r="F58" s="1238">
        <v>0</v>
      </c>
      <c r="G58" s="1239">
        <v>1028240</v>
      </c>
      <c r="H58" s="1239">
        <v>0</v>
      </c>
      <c r="I58" s="1239">
        <v>0</v>
      </c>
      <c r="J58" s="1239"/>
      <c r="K58" s="1239"/>
      <c r="L58" s="1239">
        <v>0</v>
      </c>
      <c r="M58" s="1318">
        <f t="shared" si="20"/>
        <v>510491</v>
      </c>
      <c r="N58" s="1238">
        <v>173853</v>
      </c>
      <c r="O58" s="1238">
        <v>92000</v>
      </c>
      <c r="P58" s="1238">
        <v>0</v>
      </c>
      <c r="Q58" s="1238">
        <v>22320</v>
      </c>
      <c r="R58" s="1238">
        <v>49358</v>
      </c>
      <c r="S58" s="1238">
        <v>20000</v>
      </c>
      <c r="T58" s="1238">
        <v>3040</v>
      </c>
      <c r="U58" s="1238">
        <v>47400</v>
      </c>
      <c r="V58" s="1238">
        <v>0</v>
      </c>
      <c r="W58" s="1238">
        <v>0</v>
      </c>
      <c r="X58" s="1238">
        <v>27520</v>
      </c>
      <c r="Y58" s="1238">
        <v>75000</v>
      </c>
    </row>
    <row r="59" spans="1:25" ht="36">
      <c r="A59" s="1324" t="s">
        <v>283</v>
      </c>
      <c r="B59" s="1158" t="s">
        <v>2</v>
      </c>
      <c r="C59" s="1323" t="s">
        <v>267</v>
      </c>
      <c r="D59" s="1318">
        <f t="shared" si="18"/>
        <v>452298</v>
      </c>
      <c r="E59" s="1318">
        <f t="shared" si="19"/>
        <v>269740</v>
      </c>
      <c r="F59" s="1242">
        <v>0</v>
      </c>
      <c r="G59" s="1243">
        <v>0</v>
      </c>
      <c r="H59" s="1243">
        <v>92540</v>
      </c>
      <c r="I59" s="1243">
        <v>0</v>
      </c>
      <c r="J59" s="1243"/>
      <c r="K59" s="1243"/>
      <c r="L59" s="1243">
        <v>177200</v>
      </c>
      <c r="M59" s="1318">
        <f t="shared" si="20"/>
        <v>182558</v>
      </c>
      <c r="N59" s="1242">
        <v>12480</v>
      </c>
      <c r="O59" s="1242">
        <v>4440</v>
      </c>
      <c r="P59" s="1242">
        <v>6876</v>
      </c>
      <c r="Q59" s="1242">
        <v>37630</v>
      </c>
      <c r="R59" s="1242">
        <v>18596</v>
      </c>
      <c r="S59" s="1242">
        <v>15280</v>
      </c>
      <c r="T59" s="1242">
        <v>19190</v>
      </c>
      <c r="U59" s="1242">
        <v>14310</v>
      </c>
      <c r="V59" s="1242">
        <v>21336</v>
      </c>
      <c r="W59" s="1242">
        <v>10250</v>
      </c>
      <c r="X59" s="1242">
        <v>7080</v>
      </c>
      <c r="Y59" s="1242">
        <v>15090</v>
      </c>
    </row>
    <row r="60" spans="1:25" ht="60">
      <c r="A60" s="1324" t="s">
        <v>284</v>
      </c>
      <c r="B60" s="1158" t="s">
        <v>582</v>
      </c>
      <c r="C60" s="1323" t="s">
        <v>279</v>
      </c>
      <c r="D60" s="1318">
        <f t="shared" si="18"/>
        <v>163280</v>
      </c>
      <c r="E60" s="1318">
        <f t="shared" si="19"/>
        <v>163280</v>
      </c>
      <c r="F60" s="1242">
        <v>0</v>
      </c>
      <c r="G60" s="1243">
        <v>0</v>
      </c>
      <c r="H60" s="1243">
        <v>0</v>
      </c>
      <c r="I60" s="1243">
        <v>163280</v>
      </c>
      <c r="J60" s="1243"/>
      <c r="K60" s="1243"/>
      <c r="L60" s="1243">
        <v>0</v>
      </c>
      <c r="M60" s="1318">
        <f t="shared" si="20"/>
        <v>0</v>
      </c>
      <c r="N60" s="1242">
        <v>0</v>
      </c>
      <c r="O60" s="1242">
        <v>0</v>
      </c>
      <c r="P60" s="1242">
        <v>0</v>
      </c>
      <c r="Q60" s="1242">
        <v>0</v>
      </c>
      <c r="R60" s="1242">
        <v>0</v>
      </c>
      <c r="S60" s="1242">
        <v>0</v>
      </c>
      <c r="T60" s="1242">
        <v>0</v>
      </c>
      <c r="U60" s="1242">
        <v>0</v>
      </c>
      <c r="V60" s="1242">
        <v>0</v>
      </c>
      <c r="W60" s="1242">
        <v>0</v>
      </c>
      <c r="X60" s="1242">
        <v>0</v>
      </c>
      <c r="Y60" s="1242">
        <v>0</v>
      </c>
    </row>
  </sheetData>
  <mergeCells count="6">
    <mergeCell ref="D4:D7"/>
    <mergeCell ref="E4:L5"/>
    <mergeCell ref="M4:Y5"/>
    <mergeCell ref="A4:A7"/>
    <mergeCell ref="B4:B7"/>
    <mergeCell ref="C4:C7"/>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topLeftCell="A10" workbookViewId="0">
      <selection activeCell="I60" sqref="I60"/>
    </sheetView>
  </sheetViews>
  <sheetFormatPr defaultRowHeight="15"/>
  <cols>
    <col min="1" max="2" width="9.140625" style="1357"/>
    <col min="3" max="3" width="23.5703125" style="1357" customWidth="1"/>
    <col min="4" max="4" width="12.85546875" style="1357" customWidth="1"/>
    <col min="5" max="5" width="10.5703125" style="1357" customWidth="1"/>
    <col min="6" max="6" width="12.28515625" style="1357" customWidth="1"/>
    <col min="7" max="7" width="9.7109375" style="1357" customWidth="1"/>
    <col min="8" max="8" width="9" style="1357" customWidth="1"/>
    <col min="9" max="9" width="8.28515625" style="1357" customWidth="1"/>
    <col min="10" max="10" width="9.28515625" style="1357" customWidth="1"/>
    <col min="11" max="11" width="10.5703125" style="1357" customWidth="1"/>
    <col min="12" max="12" width="10" style="1357" customWidth="1"/>
    <col min="13" max="13" width="8.85546875" style="1357" customWidth="1"/>
    <col min="14" max="14" width="10.42578125" style="1357" customWidth="1"/>
    <col min="15" max="16" width="9.5703125" style="1357" customWidth="1"/>
    <col min="17" max="17" width="9.7109375" style="1357" customWidth="1"/>
    <col min="18" max="18" width="10" style="1357" customWidth="1"/>
    <col min="19" max="19" width="9.5703125" style="1357" customWidth="1"/>
    <col min="20" max="21" width="9.42578125" style="1357" customWidth="1"/>
    <col min="22" max="22" width="9.5703125" style="1357" customWidth="1"/>
    <col min="23" max="23" width="9.85546875" style="1357" customWidth="1"/>
    <col min="24" max="16384" width="9.140625" style="1357"/>
  </cols>
  <sheetData>
    <row r="1" spans="1:23">
      <c r="A1" s="1907" t="s">
        <v>840</v>
      </c>
      <c r="B1" s="1907"/>
      <c r="C1" s="1907"/>
      <c r="D1" s="1907"/>
      <c r="E1" s="1907"/>
      <c r="F1" s="1907"/>
      <c r="G1" s="1907"/>
      <c r="H1" s="1907"/>
      <c r="I1" s="1907"/>
      <c r="J1" s="1907"/>
      <c r="K1" s="1907"/>
      <c r="L1" s="1907"/>
      <c r="M1" s="1907"/>
      <c r="N1" s="1907"/>
      <c r="O1" s="1907"/>
      <c r="P1" s="1907"/>
      <c r="Q1" s="1907"/>
      <c r="R1" s="1907"/>
      <c r="S1" s="1907"/>
      <c r="T1" s="1907"/>
      <c r="U1" s="1907"/>
      <c r="V1" s="1907"/>
      <c r="W1" s="1907"/>
    </row>
    <row r="2" spans="1:23">
      <c r="A2" s="1907"/>
      <c r="B2" s="1907"/>
      <c r="C2" s="1907"/>
      <c r="D2" s="1907"/>
      <c r="E2" s="1907"/>
      <c r="F2" s="1907"/>
      <c r="G2" s="1907"/>
      <c r="H2" s="1907"/>
      <c r="I2" s="1907"/>
      <c r="J2" s="1907"/>
      <c r="K2" s="1907"/>
      <c r="L2" s="1907"/>
      <c r="M2" s="1907"/>
      <c r="N2" s="1907"/>
      <c r="O2" s="1907"/>
      <c r="P2" s="1907"/>
      <c r="Q2" s="1907"/>
      <c r="R2" s="1907"/>
      <c r="S2" s="1907"/>
      <c r="T2" s="1907"/>
      <c r="U2" s="1907"/>
      <c r="V2" s="1907"/>
      <c r="W2" s="1907"/>
    </row>
    <row r="3" spans="1:23" ht="18.75">
      <c r="A3" s="1395"/>
      <c r="B3" s="1395"/>
      <c r="C3" s="1395"/>
      <c r="D3" s="1395"/>
      <c r="E3" s="1418"/>
      <c r="F3" s="1418"/>
      <c r="G3" s="1395"/>
      <c r="H3" s="1395"/>
      <c r="I3" s="1395"/>
      <c r="J3" s="1395"/>
      <c r="K3" s="1395"/>
      <c r="L3" s="1395"/>
      <c r="M3" s="1395"/>
      <c r="N3" s="1395"/>
      <c r="O3" s="1395"/>
      <c r="P3" s="1395"/>
      <c r="Q3" s="1395"/>
      <c r="R3" s="1395"/>
      <c r="S3" s="1395"/>
      <c r="T3" s="1395"/>
      <c r="U3" s="1395"/>
      <c r="V3" s="1395"/>
      <c r="W3" s="1395"/>
    </row>
    <row r="4" spans="1:23">
      <c r="A4" s="1908" t="s">
        <v>309</v>
      </c>
      <c r="B4" s="1908" t="s">
        <v>626</v>
      </c>
      <c r="C4" s="1908" t="s">
        <v>751</v>
      </c>
      <c r="D4" s="1911" t="s">
        <v>829</v>
      </c>
      <c r="E4" s="1914" t="s">
        <v>754</v>
      </c>
      <c r="F4" s="1915"/>
      <c r="G4" s="1915"/>
      <c r="H4" s="1915"/>
      <c r="I4" s="1915"/>
      <c r="J4" s="1916"/>
      <c r="K4" s="1914" t="s">
        <v>826</v>
      </c>
      <c r="L4" s="1915"/>
      <c r="M4" s="1915"/>
      <c r="N4" s="1915"/>
      <c r="O4" s="1915"/>
      <c r="P4" s="1915"/>
      <c r="Q4" s="1915"/>
      <c r="R4" s="1915"/>
      <c r="S4" s="1915"/>
      <c r="T4" s="1915"/>
      <c r="U4" s="1915"/>
      <c r="V4" s="1915"/>
      <c r="W4" s="1916"/>
    </row>
    <row r="5" spans="1:23">
      <c r="A5" s="1909"/>
      <c r="B5" s="1909"/>
      <c r="C5" s="1909"/>
      <c r="D5" s="1912"/>
      <c r="E5" s="1917"/>
      <c r="F5" s="1918"/>
      <c r="G5" s="1918"/>
      <c r="H5" s="1918"/>
      <c r="I5" s="1918"/>
      <c r="J5" s="1919"/>
      <c r="K5" s="1917"/>
      <c r="L5" s="1918"/>
      <c r="M5" s="1918"/>
      <c r="N5" s="1918"/>
      <c r="O5" s="1918"/>
      <c r="P5" s="1918"/>
      <c r="Q5" s="1918"/>
      <c r="R5" s="1918"/>
      <c r="S5" s="1918"/>
      <c r="T5" s="1918"/>
      <c r="U5" s="1918"/>
      <c r="V5" s="1918"/>
      <c r="W5" s="1919"/>
    </row>
    <row r="6" spans="1:23" ht="48">
      <c r="A6" s="1909"/>
      <c r="B6" s="1909"/>
      <c r="C6" s="1909"/>
      <c r="D6" s="1912"/>
      <c r="E6" s="1358" t="s">
        <v>5</v>
      </c>
      <c r="F6" s="1358" t="s">
        <v>821</v>
      </c>
      <c r="G6" s="1359" t="s">
        <v>822</v>
      </c>
      <c r="H6" s="1359" t="s">
        <v>823</v>
      </c>
      <c r="I6" s="1360" t="s">
        <v>824</v>
      </c>
      <c r="J6" s="1361" t="s">
        <v>825</v>
      </c>
      <c r="K6" s="1362" t="s">
        <v>5</v>
      </c>
      <c r="L6" s="1363" t="s">
        <v>727</v>
      </c>
      <c r="M6" s="1364" t="s">
        <v>728</v>
      </c>
      <c r="N6" s="1364" t="s">
        <v>729</v>
      </c>
      <c r="O6" s="1364" t="s">
        <v>730</v>
      </c>
      <c r="P6" s="1364" t="s">
        <v>731</v>
      </c>
      <c r="Q6" s="1364" t="s">
        <v>732</v>
      </c>
      <c r="R6" s="1364" t="s">
        <v>733</v>
      </c>
      <c r="S6" s="1364" t="s">
        <v>734</v>
      </c>
      <c r="T6" s="1364" t="s">
        <v>735</v>
      </c>
      <c r="U6" s="1364" t="s">
        <v>736</v>
      </c>
      <c r="V6" s="1364" t="s">
        <v>737</v>
      </c>
      <c r="W6" s="1364" t="s">
        <v>738</v>
      </c>
    </row>
    <row r="7" spans="1:23">
      <c r="A7" s="1910"/>
      <c r="B7" s="1910"/>
      <c r="C7" s="1910"/>
      <c r="D7" s="1913"/>
      <c r="E7" s="1365"/>
      <c r="F7" s="1365">
        <v>1</v>
      </c>
      <c r="G7" s="1366">
        <v>2</v>
      </c>
      <c r="H7" s="1365">
        <v>3</v>
      </c>
      <c r="I7" s="1366">
        <v>4</v>
      </c>
      <c r="J7" s="1365">
        <v>5</v>
      </c>
      <c r="K7" s="1367"/>
      <c r="L7" s="1368">
        <v>6</v>
      </c>
      <c r="M7" s="1369">
        <v>7</v>
      </c>
      <c r="N7" s="1368">
        <v>8</v>
      </c>
      <c r="O7" s="1369">
        <v>9</v>
      </c>
      <c r="P7" s="1368">
        <v>10</v>
      </c>
      <c r="Q7" s="1369">
        <v>11</v>
      </c>
      <c r="R7" s="1368">
        <v>12</v>
      </c>
      <c r="S7" s="1369">
        <v>13</v>
      </c>
      <c r="T7" s="1368">
        <v>14</v>
      </c>
      <c r="U7" s="1369">
        <v>15</v>
      </c>
      <c r="V7" s="1368">
        <v>16</v>
      </c>
      <c r="W7" s="1369">
        <v>17</v>
      </c>
    </row>
    <row r="8" spans="1:23" s="1403" customFormat="1" ht="11.25">
      <c r="A8" s="1396" t="s">
        <v>768</v>
      </c>
      <c r="B8" s="1397"/>
      <c r="C8" s="1398" t="s">
        <v>841</v>
      </c>
      <c r="D8" s="1399">
        <f>D9</f>
        <v>71196300</v>
      </c>
      <c r="E8" s="1400"/>
      <c r="F8" s="1400"/>
      <c r="G8" s="1400"/>
      <c r="H8" s="1400"/>
      <c r="I8" s="1400"/>
      <c r="J8" s="1400"/>
      <c r="K8" s="1401"/>
      <c r="L8" s="1402"/>
      <c r="M8" s="1402"/>
      <c r="N8" s="1402"/>
      <c r="O8" s="1402"/>
      <c r="P8" s="1402"/>
      <c r="Q8" s="1402"/>
      <c r="R8" s="1402"/>
      <c r="S8" s="1402"/>
      <c r="T8" s="1402"/>
      <c r="U8" s="1402"/>
      <c r="V8" s="1402"/>
      <c r="W8" s="1402"/>
    </row>
    <row r="9" spans="1:23" s="1403" customFormat="1" ht="42">
      <c r="A9" s="1396"/>
      <c r="B9" s="1396"/>
      <c r="C9" s="1404" t="s">
        <v>837</v>
      </c>
      <c r="D9" s="1331">
        <f>D10+D11</f>
        <v>71196300</v>
      </c>
      <c r="E9" s="1331">
        <f t="shared" ref="E9:W9" si="0">E10+E11</f>
        <v>21461300</v>
      </c>
      <c r="F9" s="1331">
        <f t="shared" si="0"/>
        <v>0</v>
      </c>
      <c r="G9" s="1331">
        <f t="shared" si="0"/>
        <v>0</v>
      </c>
      <c r="H9" s="1331">
        <f t="shared" si="0"/>
        <v>0</v>
      </c>
      <c r="I9" s="1331">
        <f t="shared" si="0"/>
        <v>0</v>
      </c>
      <c r="J9" s="1331">
        <f t="shared" si="0"/>
        <v>0</v>
      </c>
      <c r="K9" s="1331">
        <f t="shared" si="0"/>
        <v>22735000</v>
      </c>
      <c r="L9" s="1331">
        <f t="shared" si="0"/>
        <v>3150800</v>
      </c>
      <c r="M9" s="1331">
        <f t="shared" si="0"/>
        <v>517400</v>
      </c>
      <c r="N9" s="1331">
        <f t="shared" si="0"/>
        <v>2658400</v>
      </c>
      <c r="O9" s="1331">
        <f t="shared" si="0"/>
        <v>2392200</v>
      </c>
      <c r="P9" s="1331">
        <f t="shared" si="0"/>
        <v>2629800</v>
      </c>
      <c r="Q9" s="1331">
        <f t="shared" si="0"/>
        <v>1142100</v>
      </c>
      <c r="R9" s="1331">
        <f t="shared" si="0"/>
        <v>2300300</v>
      </c>
      <c r="S9" s="1331">
        <f t="shared" si="0"/>
        <v>2262600</v>
      </c>
      <c r="T9" s="1331">
        <f t="shared" si="0"/>
        <v>2696300</v>
      </c>
      <c r="U9" s="1331">
        <f t="shared" si="0"/>
        <v>1082600</v>
      </c>
      <c r="V9" s="1331">
        <f t="shared" si="0"/>
        <v>1100600</v>
      </c>
      <c r="W9" s="1331">
        <f t="shared" si="0"/>
        <v>801900</v>
      </c>
    </row>
    <row r="10" spans="1:23" s="1409" customFormat="1" ht="45">
      <c r="A10" s="1405"/>
      <c r="B10" s="1406"/>
      <c r="C10" s="1407" t="s">
        <v>839</v>
      </c>
      <c r="D10" s="1393">
        <v>27000000</v>
      </c>
      <c r="E10" s="1394"/>
      <c r="F10" s="1394"/>
      <c r="G10" s="1394"/>
      <c r="H10" s="1394"/>
      <c r="I10" s="1394"/>
      <c r="J10" s="1394"/>
      <c r="K10" s="1393">
        <v>0</v>
      </c>
      <c r="L10" s="1408"/>
      <c r="M10" s="1408"/>
      <c r="N10" s="1408"/>
      <c r="O10" s="1408"/>
      <c r="P10" s="1408"/>
      <c r="Q10" s="1408"/>
      <c r="R10" s="1408"/>
      <c r="S10" s="1408"/>
      <c r="T10" s="1408"/>
      <c r="U10" s="1408"/>
      <c r="V10" s="1408"/>
      <c r="W10" s="1408"/>
    </row>
    <row r="11" spans="1:23" s="1409" customFormat="1" ht="33.75">
      <c r="A11" s="1410"/>
      <c r="B11" s="1410"/>
      <c r="C11" s="1407" t="s">
        <v>838</v>
      </c>
      <c r="D11" s="1411">
        <f t="shared" ref="D11:D62" si="1">E11+K11</f>
        <v>44196300</v>
      </c>
      <c r="E11" s="1394">
        <v>21461300</v>
      </c>
      <c r="F11" s="1412"/>
      <c r="G11" s="1412"/>
      <c r="H11" s="1412"/>
      <c r="I11" s="1412"/>
      <c r="J11" s="1412"/>
      <c r="K11" s="1393">
        <f>SUM(L11:W11)</f>
        <v>22735000</v>
      </c>
      <c r="L11" s="1408">
        <v>3150800</v>
      </c>
      <c r="M11" s="1408">
        <v>517400</v>
      </c>
      <c r="N11" s="1408">
        <v>2658400</v>
      </c>
      <c r="O11" s="1408">
        <v>2392200</v>
      </c>
      <c r="P11" s="1408">
        <v>2629800</v>
      </c>
      <c r="Q11" s="1408">
        <v>1142100</v>
      </c>
      <c r="R11" s="1408">
        <v>2300300</v>
      </c>
      <c r="S11" s="1408">
        <v>2262600</v>
      </c>
      <c r="T11" s="1408">
        <v>2696300</v>
      </c>
      <c r="U11" s="1408">
        <v>1082600</v>
      </c>
      <c r="V11" s="1408">
        <v>1100600</v>
      </c>
      <c r="W11" s="1408">
        <v>801900</v>
      </c>
    </row>
    <row r="12" spans="1:23" s="1409" customFormat="1" ht="21">
      <c r="A12" s="1419" t="s">
        <v>804</v>
      </c>
      <c r="B12" s="1421"/>
      <c r="C12" s="1422" t="s">
        <v>845</v>
      </c>
      <c r="D12" s="1427">
        <f>D13+D14+D15</f>
        <v>49203000</v>
      </c>
      <c r="E12" s="1427">
        <f t="shared" ref="E12:W12" si="2">E13+E14+E15</f>
        <v>22005000</v>
      </c>
      <c r="F12" s="1427">
        <f t="shared" si="2"/>
        <v>12106000</v>
      </c>
      <c r="G12" s="1427">
        <f t="shared" si="2"/>
        <v>2687000</v>
      </c>
      <c r="H12" s="1427">
        <f t="shared" si="2"/>
        <v>6592000</v>
      </c>
      <c r="I12" s="1427">
        <f t="shared" si="2"/>
        <v>119000</v>
      </c>
      <c r="J12" s="1427">
        <f t="shared" si="2"/>
        <v>501000</v>
      </c>
      <c r="K12" s="1427">
        <f t="shared" si="2"/>
        <v>27198000</v>
      </c>
      <c r="L12" s="1427">
        <f t="shared" si="2"/>
        <v>3682000</v>
      </c>
      <c r="M12" s="1427">
        <f t="shared" si="2"/>
        <v>738000</v>
      </c>
      <c r="N12" s="1427">
        <f t="shared" si="2"/>
        <v>2972000</v>
      </c>
      <c r="O12" s="1427">
        <f t="shared" si="2"/>
        <v>3036000</v>
      </c>
      <c r="P12" s="1427">
        <f t="shared" si="2"/>
        <v>3183000</v>
      </c>
      <c r="Q12" s="1427">
        <f t="shared" si="2"/>
        <v>1253000</v>
      </c>
      <c r="R12" s="1427">
        <f t="shared" si="2"/>
        <v>3046000</v>
      </c>
      <c r="S12" s="1427">
        <f t="shared" si="2"/>
        <v>2807000</v>
      </c>
      <c r="T12" s="1427">
        <f t="shared" si="2"/>
        <v>3067000</v>
      </c>
      <c r="U12" s="1427">
        <f t="shared" si="2"/>
        <v>925000</v>
      </c>
      <c r="V12" s="1427">
        <f t="shared" si="2"/>
        <v>1057000</v>
      </c>
      <c r="W12" s="1427">
        <f t="shared" si="2"/>
        <v>1432000</v>
      </c>
    </row>
    <row r="13" spans="1:23" s="1409" customFormat="1" ht="28.5" customHeight="1">
      <c r="A13" s="1410"/>
      <c r="B13" s="1410">
        <v>1</v>
      </c>
      <c r="C13" s="1423" t="s">
        <v>844</v>
      </c>
      <c r="D13" s="1411">
        <f t="shared" si="1"/>
        <v>34164000</v>
      </c>
      <c r="E13" s="1394">
        <f t="shared" ref="E13:E15" si="3">SUM(F13:J13)</f>
        <v>15580000</v>
      </c>
      <c r="F13" s="1426">
        <v>9812000</v>
      </c>
      <c r="G13" s="1426">
        <v>1352000</v>
      </c>
      <c r="H13" s="1426">
        <v>3966000</v>
      </c>
      <c r="I13" s="1426">
        <v>99000</v>
      </c>
      <c r="J13" s="1426">
        <v>351000</v>
      </c>
      <c r="K13" s="1393">
        <f>SUM(L13:W13)</f>
        <v>18584000</v>
      </c>
      <c r="L13" s="1408">
        <v>2790000</v>
      </c>
      <c r="M13" s="1408">
        <v>376000</v>
      </c>
      <c r="N13" s="1408">
        <v>2326000</v>
      </c>
      <c r="O13" s="1408">
        <v>2096000</v>
      </c>
      <c r="P13" s="1408">
        <v>2432000</v>
      </c>
      <c r="Q13" s="1408">
        <v>410000</v>
      </c>
      <c r="R13" s="1408">
        <v>1972000</v>
      </c>
      <c r="S13" s="1408">
        <v>2102000</v>
      </c>
      <c r="T13" s="1408">
        <v>1989000</v>
      </c>
      <c r="U13" s="1408">
        <v>407000</v>
      </c>
      <c r="V13" s="1408">
        <v>738000</v>
      </c>
      <c r="W13" s="1408">
        <v>946000</v>
      </c>
    </row>
    <row r="14" spans="1:23" s="1409" customFormat="1" ht="21" customHeight="1">
      <c r="A14" s="1410"/>
      <c r="B14" s="1410">
        <v>2</v>
      </c>
      <c r="C14" s="1423" t="s">
        <v>843</v>
      </c>
      <c r="D14" s="1411">
        <f t="shared" si="1"/>
        <v>8614000</v>
      </c>
      <c r="E14" s="1394">
        <f t="shared" si="3"/>
        <v>0</v>
      </c>
      <c r="F14" s="1412"/>
      <c r="G14" s="1412"/>
      <c r="H14" s="1412"/>
      <c r="I14" s="1412"/>
      <c r="J14" s="1412"/>
      <c r="K14" s="1393">
        <f>SUM(L14:W14)</f>
        <v>8614000</v>
      </c>
      <c r="L14" s="1408">
        <v>892000</v>
      </c>
      <c r="M14" s="1408">
        <v>362000</v>
      </c>
      <c r="N14" s="1408">
        <v>646000</v>
      </c>
      <c r="O14" s="1408">
        <v>940000</v>
      </c>
      <c r="P14" s="1408">
        <v>751000</v>
      </c>
      <c r="Q14" s="1408">
        <v>843000</v>
      </c>
      <c r="R14" s="1408">
        <v>1074000</v>
      </c>
      <c r="S14" s="1408">
        <v>705000</v>
      </c>
      <c r="T14" s="1408">
        <v>1078000</v>
      </c>
      <c r="U14" s="1408">
        <v>518000</v>
      </c>
      <c r="V14" s="1408">
        <v>319000</v>
      </c>
      <c r="W14" s="1408">
        <v>486000</v>
      </c>
    </row>
    <row r="15" spans="1:23" s="1409" customFormat="1" ht="21" customHeight="1">
      <c r="A15" s="1419"/>
      <c r="B15" s="1420">
        <v>3</v>
      </c>
      <c r="C15" s="1423" t="s">
        <v>846</v>
      </c>
      <c r="D15" s="1411">
        <f t="shared" si="1"/>
        <v>6425000</v>
      </c>
      <c r="E15" s="1394">
        <f t="shared" si="3"/>
        <v>6425000</v>
      </c>
      <c r="F15" s="1426">
        <v>2294000</v>
      </c>
      <c r="G15" s="1426">
        <v>1335000</v>
      </c>
      <c r="H15" s="1426">
        <v>2626000</v>
      </c>
      <c r="I15" s="1426">
        <v>20000</v>
      </c>
      <c r="J15" s="1426">
        <v>150000</v>
      </c>
      <c r="K15" s="1393"/>
      <c r="L15" s="1408"/>
      <c r="M15" s="1408"/>
      <c r="N15" s="1408"/>
      <c r="O15" s="1408"/>
      <c r="P15" s="1408"/>
      <c r="Q15" s="1408"/>
      <c r="R15" s="1408"/>
      <c r="S15" s="1408"/>
      <c r="T15" s="1408"/>
      <c r="U15" s="1408"/>
      <c r="V15" s="1408"/>
      <c r="W15" s="1408"/>
    </row>
    <row r="16" spans="1:23" s="1414" customFormat="1" ht="21">
      <c r="A16" s="1370" t="s">
        <v>815</v>
      </c>
      <c r="B16" s="1371"/>
      <c r="C16" s="1413" t="s">
        <v>842</v>
      </c>
      <c r="D16" s="1331">
        <f t="shared" si="1"/>
        <v>67256761.24000001</v>
      </c>
      <c r="E16" s="1331">
        <f>SUM(F16:J16)</f>
        <v>21148356</v>
      </c>
      <c r="F16" s="1331">
        <f>F17+F22+F27+F32+F33+F34+F35+F36+F37+F40+F44+F45+F46+F47+F48+F49+F50+F51+F52+F57</f>
        <v>10775355</v>
      </c>
      <c r="G16" s="1331">
        <f t="shared" ref="G16:W16" si="4">G17+G22+G27+G32+G33+G34+G35+G36+G37+G40+G44+G45+G46+G47+G48+G49+G50+G51+G52+G57</f>
        <v>2665000</v>
      </c>
      <c r="H16" s="1331">
        <f t="shared" si="4"/>
        <v>6895702</v>
      </c>
      <c r="I16" s="1331">
        <f t="shared" si="4"/>
        <v>438200</v>
      </c>
      <c r="J16" s="1331">
        <f t="shared" si="4"/>
        <v>374099</v>
      </c>
      <c r="K16" s="1331">
        <f>SUM(L16:W16)</f>
        <v>46108405.240000002</v>
      </c>
      <c r="L16" s="1331">
        <f t="shared" si="4"/>
        <v>9081498</v>
      </c>
      <c r="M16" s="1331">
        <f t="shared" si="4"/>
        <v>1852723.2039999999</v>
      </c>
      <c r="N16" s="1331">
        <f t="shared" si="4"/>
        <v>2997878</v>
      </c>
      <c r="O16" s="1331">
        <f t="shared" si="4"/>
        <v>4152518</v>
      </c>
      <c r="P16" s="1331">
        <f t="shared" si="4"/>
        <v>4609641</v>
      </c>
      <c r="Q16" s="1331">
        <f t="shared" si="4"/>
        <v>2690647.35</v>
      </c>
      <c r="R16" s="1331">
        <f t="shared" si="4"/>
        <v>4000728.3459999999</v>
      </c>
      <c r="S16" s="1331">
        <f t="shared" si="4"/>
        <v>3083488.3</v>
      </c>
      <c r="T16" s="1331">
        <f t="shared" si="4"/>
        <v>4474117.04</v>
      </c>
      <c r="U16" s="1331">
        <f t="shared" si="4"/>
        <v>2908957</v>
      </c>
      <c r="V16" s="1331">
        <f t="shared" si="4"/>
        <v>1893128</v>
      </c>
      <c r="W16" s="1331">
        <f t="shared" si="4"/>
        <v>4363081</v>
      </c>
    </row>
    <row r="17" spans="1:23" ht="48">
      <c r="A17" s="1372">
        <v>1</v>
      </c>
      <c r="B17" s="1373" t="s">
        <v>34</v>
      </c>
      <c r="C17" s="1374" t="s">
        <v>243</v>
      </c>
      <c r="D17" s="1339">
        <f t="shared" si="1"/>
        <v>11052476.449999999</v>
      </c>
      <c r="E17" s="1339">
        <f t="shared" ref="E17:E62" si="5">SUM(F17:J17)</f>
        <v>763250</v>
      </c>
      <c r="F17" s="979">
        <f>'Chi tiết'!H9</f>
        <v>763250</v>
      </c>
      <c r="G17" s="979">
        <f>'Chi tiết'!I9</f>
        <v>0</v>
      </c>
      <c r="H17" s="979">
        <f>'Chi tiết'!J9</f>
        <v>0</v>
      </c>
      <c r="I17" s="979">
        <f>'Chi tiết'!K9</f>
        <v>0</v>
      </c>
      <c r="J17" s="979">
        <f>'Chi tiết'!L9</f>
        <v>0</v>
      </c>
      <c r="K17" s="979">
        <f>'Chi tiết'!M9</f>
        <v>10289226.449999999</v>
      </c>
      <c r="L17" s="979">
        <f>'Chi tiết'!N9</f>
        <v>3344425</v>
      </c>
      <c r="M17" s="979">
        <f>'Chi tiết'!O9</f>
        <v>188250</v>
      </c>
      <c r="N17" s="979">
        <f>'Chi tiết'!P9</f>
        <v>797850</v>
      </c>
      <c r="O17" s="979">
        <f>'Chi tiết'!Q9</f>
        <v>696784</v>
      </c>
      <c r="P17" s="979">
        <f>'Chi tiết'!R9</f>
        <v>1204746</v>
      </c>
      <c r="Q17" s="979">
        <f>'Chi tiết'!S9</f>
        <v>623033.15</v>
      </c>
      <c r="R17" s="979">
        <f>'Chi tiết'!T9</f>
        <v>735064</v>
      </c>
      <c r="S17" s="979">
        <f>'Chi tiết'!U9</f>
        <v>523714.3</v>
      </c>
      <c r="T17" s="979">
        <f>'Chi tiết'!V9</f>
        <v>454600</v>
      </c>
      <c r="U17" s="979">
        <f>'Chi tiết'!W9</f>
        <v>1171760</v>
      </c>
      <c r="V17" s="979">
        <f>'Chi tiết'!X9</f>
        <v>49600</v>
      </c>
      <c r="W17" s="979">
        <f>'Chi tiết'!Y9</f>
        <v>499400</v>
      </c>
    </row>
    <row r="18" spans="1:23" ht="24">
      <c r="A18" s="1372" t="s">
        <v>578</v>
      </c>
      <c r="B18" s="1373" t="s">
        <v>34</v>
      </c>
      <c r="C18" s="1374" t="s">
        <v>827</v>
      </c>
      <c r="D18" s="1339">
        <f t="shared" si="1"/>
        <v>1044980</v>
      </c>
      <c r="E18" s="1339">
        <f t="shared" si="5"/>
        <v>86000</v>
      </c>
      <c r="F18" s="979">
        <f>'Chi tiết'!H10</f>
        <v>86000</v>
      </c>
      <c r="G18" s="979">
        <f>'Chi tiết'!I10</f>
        <v>0</v>
      </c>
      <c r="H18" s="979">
        <f>'Chi tiết'!J10</f>
        <v>0</v>
      </c>
      <c r="I18" s="979">
        <f>'Chi tiết'!K10</f>
        <v>0</v>
      </c>
      <c r="J18" s="979">
        <f>'Chi tiết'!L10</f>
        <v>0</v>
      </c>
      <c r="K18" s="979">
        <f>'Chi tiết'!M10</f>
        <v>958980</v>
      </c>
      <c r="L18" s="979">
        <f>'Chi tiết'!N10</f>
        <v>66402</v>
      </c>
      <c r="M18" s="979">
        <f>'Chi tiết'!O10</f>
        <v>38000</v>
      </c>
      <c r="N18" s="979">
        <f>'Chi tiết'!P10</f>
        <v>37250</v>
      </c>
      <c r="O18" s="979">
        <f>'Chi tiết'!Q10</f>
        <v>291080</v>
      </c>
      <c r="P18" s="979">
        <f>'Chi tiết'!R10</f>
        <v>52500</v>
      </c>
      <c r="Q18" s="979">
        <f>'Chi tiết'!S10</f>
        <v>49700</v>
      </c>
      <c r="R18" s="979">
        <f>'Chi tiết'!T10</f>
        <v>126580</v>
      </c>
      <c r="S18" s="979">
        <f>'Chi tiết'!U10</f>
        <v>50308</v>
      </c>
      <c r="T18" s="979">
        <f>'Chi tiết'!V10</f>
        <v>40800</v>
      </c>
      <c r="U18" s="979">
        <f>'Chi tiết'!W10</f>
        <v>45960</v>
      </c>
      <c r="V18" s="979">
        <f>'Chi tiết'!X10</f>
        <v>49600</v>
      </c>
      <c r="W18" s="979">
        <f>'Chi tiết'!Y10</f>
        <v>110800</v>
      </c>
    </row>
    <row r="19" spans="1:23" ht="24">
      <c r="A19" s="1372" t="s">
        <v>579</v>
      </c>
      <c r="B19" s="1373" t="s">
        <v>34</v>
      </c>
      <c r="C19" s="1374" t="s">
        <v>511</v>
      </c>
      <c r="D19" s="1339">
        <f t="shared" si="1"/>
        <v>9799770.4499999993</v>
      </c>
      <c r="E19" s="1339">
        <f t="shared" si="5"/>
        <v>638850</v>
      </c>
      <c r="F19" s="979">
        <f>'Chi tiết'!H22</f>
        <v>638850</v>
      </c>
      <c r="G19" s="979">
        <f>'Chi tiết'!I22</f>
        <v>0</v>
      </c>
      <c r="H19" s="979">
        <f>'Chi tiết'!J22</f>
        <v>0</v>
      </c>
      <c r="I19" s="979">
        <f>'Chi tiết'!K22</f>
        <v>0</v>
      </c>
      <c r="J19" s="979">
        <f>'Chi tiết'!L22</f>
        <v>0</v>
      </c>
      <c r="K19" s="979">
        <f>'Chi tiết'!M22</f>
        <v>9160920.4499999993</v>
      </c>
      <c r="L19" s="979">
        <f>'Chi tiết'!N22</f>
        <v>3273523</v>
      </c>
      <c r="M19" s="979">
        <f>'Chi tiết'!O22</f>
        <v>137750</v>
      </c>
      <c r="N19" s="979">
        <f>'Chi tiết'!P22</f>
        <v>754800</v>
      </c>
      <c r="O19" s="979">
        <f>'Chi tiết'!Q22</f>
        <v>405704</v>
      </c>
      <c r="P19" s="979">
        <f>'Chi tiết'!R22</f>
        <v>1005720</v>
      </c>
      <c r="Q19" s="979">
        <f>'Chi tiết'!S22</f>
        <v>573333.15</v>
      </c>
      <c r="R19" s="979">
        <f>'Chi tiết'!T22</f>
        <v>608484</v>
      </c>
      <c r="S19" s="979">
        <f>'Chi tiết'!U22</f>
        <v>473406.3</v>
      </c>
      <c r="T19" s="979">
        <f>'Chi tiết'!V22</f>
        <v>413800</v>
      </c>
      <c r="U19" s="979">
        <f>'Chi tiết'!W22</f>
        <v>1125800</v>
      </c>
      <c r="V19" s="979">
        <f>'Chi tiết'!X22</f>
        <v>0</v>
      </c>
      <c r="W19" s="979">
        <f>'Chi tiết'!Y22</f>
        <v>388600</v>
      </c>
    </row>
    <row r="20" spans="1:23">
      <c r="A20" s="1372" t="s">
        <v>580</v>
      </c>
      <c r="B20" s="1373" t="s">
        <v>34</v>
      </c>
      <c r="C20" s="1374" t="s">
        <v>31</v>
      </c>
      <c r="D20" s="1339">
        <f t="shared" si="1"/>
        <v>58176</v>
      </c>
      <c r="E20" s="1339">
        <f t="shared" si="5"/>
        <v>8400</v>
      </c>
      <c r="F20" s="979">
        <f>'Chi tiết'!H34</f>
        <v>8400</v>
      </c>
      <c r="G20" s="979">
        <f>'Chi tiết'!I34</f>
        <v>0</v>
      </c>
      <c r="H20" s="979">
        <f>'Chi tiết'!J34</f>
        <v>0</v>
      </c>
      <c r="I20" s="979">
        <f>'Chi tiết'!K34</f>
        <v>0</v>
      </c>
      <c r="J20" s="979">
        <f>'Chi tiết'!L34</f>
        <v>0</v>
      </c>
      <c r="K20" s="979">
        <f>'Chi tiết'!M34</f>
        <v>49776</v>
      </c>
      <c r="L20" s="979">
        <f>'Chi tiết'!N34</f>
        <v>4500</v>
      </c>
      <c r="M20" s="979">
        <f>'Chi tiết'!O34</f>
        <v>12500</v>
      </c>
      <c r="N20" s="979">
        <f>'Chi tiết'!P34</f>
        <v>5800</v>
      </c>
      <c r="O20" s="979">
        <f>'Chi tiết'!Q34</f>
        <v>0</v>
      </c>
      <c r="P20" s="979">
        <f>'Chi tiết'!R34</f>
        <v>26976</v>
      </c>
      <c r="Q20" s="979">
        <f>'Chi tiết'!S34</f>
        <v>0</v>
      </c>
      <c r="R20" s="979">
        <f>'Chi tiết'!T34</f>
        <v>0</v>
      </c>
      <c r="S20" s="979">
        <f>'Chi tiết'!U34</f>
        <v>0</v>
      </c>
      <c r="T20" s="979">
        <f>'Chi tiết'!V34</f>
        <v>0</v>
      </c>
      <c r="U20" s="979">
        <f>'Chi tiết'!W34</f>
        <v>0</v>
      </c>
      <c r="V20" s="979">
        <f>'Chi tiết'!X34</f>
        <v>0</v>
      </c>
      <c r="W20" s="979">
        <f>'Chi tiết'!Y34</f>
        <v>0</v>
      </c>
    </row>
    <row r="21" spans="1:23" ht="36">
      <c r="A21" s="1372" t="s">
        <v>581</v>
      </c>
      <c r="B21" s="1373" t="s">
        <v>34</v>
      </c>
      <c r="C21" s="1374" t="s">
        <v>223</v>
      </c>
      <c r="D21" s="1339">
        <f t="shared" si="1"/>
        <v>149550</v>
      </c>
      <c r="E21" s="1339">
        <f t="shared" si="5"/>
        <v>30000</v>
      </c>
      <c r="F21" s="979">
        <f>'Chi tiết'!H46</f>
        <v>30000</v>
      </c>
      <c r="G21" s="979">
        <f>'Chi tiết'!I46</f>
        <v>0</v>
      </c>
      <c r="H21" s="979">
        <f>'Chi tiết'!J46</f>
        <v>0</v>
      </c>
      <c r="I21" s="979">
        <f>'Chi tiết'!K46</f>
        <v>0</v>
      </c>
      <c r="J21" s="979">
        <f>'Chi tiết'!L46</f>
        <v>0</v>
      </c>
      <c r="K21" s="979">
        <f>'Chi tiết'!M46</f>
        <v>119550</v>
      </c>
      <c r="L21" s="979">
        <f>'Chi tiết'!N46</f>
        <v>0</v>
      </c>
      <c r="M21" s="979">
        <f>'Chi tiết'!O46</f>
        <v>0</v>
      </c>
      <c r="N21" s="979">
        <f>'Chi tiết'!P46</f>
        <v>0</v>
      </c>
      <c r="O21" s="979">
        <f>'Chi tiết'!Q46</f>
        <v>0</v>
      </c>
      <c r="P21" s="979">
        <f>'Chi tiết'!R46</f>
        <v>119550</v>
      </c>
      <c r="Q21" s="979">
        <f>'Chi tiết'!S46</f>
        <v>0</v>
      </c>
      <c r="R21" s="979">
        <f>'Chi tiết'!T46</f>
        <v>0</v>
      </c>
      <c r="S21" s="979">
        <f>'Chi tiết'!U46</f>
        <v>0</v>
      </c>
      <c r="T21" s="979">
        <f>'Chi tiết'!V46</f>
        <v>0</v>
      </c>
      <c r="U21" s="979">
        <f>'Chi tiết'!W46</f>
        <v>0</v>
      </c>
      <c r="V21" s="979">
        <f>'Chi tiết'!X46</f>
        <v>0</v>
      </c>
      <c r="W21" s="979">
        <f>'Chi tiết'!Y46</f>
        <v>0</v>
      </c>
    </row>
    <row r="22" spans="1:23" ht="24">
      <c r="A22" s="1375">
        <v>2</v>
      </c>
      <c r="B22" s="1373" t="s">
        <v>34</v>
      </c>
      <c r="C22" s="1374" t="s">
        <v>234</v>
      </c>
      <c r="D22" s="1339">
        <f t="shared" si="1"/>
        <v>6454986.3459999999</v>
      </c>
      <c r="E22" s="1339">
        <f t="shared" si="5"/>
        <v>1297680</v>
      </c>
      <c r="F22" s="979">
        <f>'Chi tiết'!H51</f>
        <v>1297680</v>
      </c>
      <c r="G22" s="979">
        <f>'Chi tiết'!I51</f>
        <v>0</v>
      </c>
      <c r="H22" s="979">
        <f>'Chi tiết'!J51</f>
        <v>0</v>
      </c>
      <c r="I22" s="979">
        <f>'Chi tiết'!K51</f>
        <v>0</v>
      </c>
      <c r="J22" s="979">
        <f>'Chi tiết'!L51</f>
        <v>0</v>
      </c>
      <c r="K22" s="979">
        <f>'Chi tiết'!M51</f>
        <v>5157306.3459999999</v>
      </c>
      <c r="L22" s="979">
        <f>'Chi tiết'!N51</f>
        <v>493343</v>
      </c>
      <c r="M22" s="979">
        <f>'Chi tiết'!O51</f>
        <v>66340</v>
      </c>
      <c r="N22" s="979">
        <f>'Chi tiết'!P51</f>
        <v>71002</v>
      </c>
      <c r="O22" s="979">
        <f>'Chi tiết'!Q51</f>
        <v>242975</v>
      </c>
      <c r="P22" s="979">
        <f>'Chi tiết'!R51</f>
        <v>407340</v>
      </c>
      <c r="Q22" s="979">
        <f>'Chi tiết'!S51</f>
        <v>62503</v>
      </c>
      <c r="R22" s="979">
        <f>'Chi tiết'!T51</f>
        <v>446366.34600000002</v>
      </c>
      <c r="S22" s="979">
        <f>'Chi tiết'!U51</f>
        <v>301702</v>
      </c>
      <c r="T22" s="979">
        <f>'Chi tiết'!V51</f>
        <v>522285</v>
      </c>
      <c r="U22" s="979">
        <f>'Chi tiết'!W51</f>
        <v>180990</v>
      </c>
      <c r="V22" s="979">
        <f>'Chi tiết'!X51</f>
        <v>188730</v>
      </c>
      <c r="W22" s="979">
        <f>'Chi tiết'!Y51</f>
        <v>2173730</v>
      </c>
    </row>
    <row r="23" spans="1:23">
      <c r="A23" s="1376" t="s">
        <v>251</v>
      </c>
      <c r="B23" s="1373" t="s">
        <v>34</v>
      </c>
      <c r="C23" s="858" t="s">
        <v>18</v>
      </c>
      <c r="D23" s="1339">
        <f t="shared" si="1"/>
        <v>3199759.3459999999</v>
      </c>
      <c r="E23" s="1339">
        <f t="shared" si="5"/>
        <v>492700</v>
      </c>
      <c r="F23" s="979">
        <f>'Chi tiết'!H52</f>
        <v>492700</v>
      </c>
      <c r="G23" s="979">
        <f>'Chi tiết'!I52</f>
        <v>0</v>
      </c>
      <c r="H23" s="979">
        <f>'Chi tiết'!J52</f>
        <v>0</v>
      </c>
      <c r="I23" s="979">
        <f>'Chi tiết'!K52</f>
        <v>0</v>
      </c>
      <c r="J23" s="979">
        <f>'Chi tiết'!L52</f>
        <v>0</v>
      </c>
      <c r="K23" s="979">
        <f>'Chi tiết'!M52</f>
        <v>2707059.3459999999</v>
      </c>
      <c r="L23" s="979">
        <f>'Chi tiết'!N52</f>
        <v>449686</v>
      </c>
      <c r="M23" s="979">
        <f>'Chi tiết'!O52</f>
        <v>15862</v>
      </c>
      <c r="N23" s="979">
        <f>'Chi tiết'!P52</f>
        <v>22965</v>
      </c>
      <c r="O23" s="979">
        <f>'Chi tiết'!Q52</f>
        <v>6800</v>
      </c>
      <c r="P23" s="979">
        <f>'Chi tiết'!R52</f>
        <v>152180</v>
      </c>
      <c r="Q23" s="979">
        <f>'Chi tiết'!S52</f>
        <v>1470</v>
      </c>
      <c r="R23" s="979">
        <f>'Chi tiết'!T52</f>
        <v>11656.346</v>
      </c>
      <c r="S23" s="979">
        <f>'Chi tiết'!U52</f>
        <v>3340</v>
      </c>
      <c r="T23" s="979">
        <f>'Chi tiết'!V52</f>
        <v>22200</v>
      </c>
      <c r="U23" s="979">
        <f>'Chi tiết'!W52</f>
        <v>15350</v>
      </c>
      <c r="V23" s="979">
        <f>'Chi tiết'!X52</f>
        <v>2400</v>
      </c>
      <c r="W23" s="979">
        <f>'Chi tiết'!Y52</f>
        <v>2003150</v>
      </c>
    </row>
    <row r="24" spans="1:23">
      <c r="A24" s="1377" t="s">
        <v>252</v>
      </c>
      <c r="B24" s="1373" t="s">
        <v>34</v>
      </c>
      <c r="C24" s="858" t="s">
        <v>19</v>
      </c>
      <c r="D24" s="1339">
        <f t="shared" si="1"/>
        <v>325582</v>
      </c>
      <c r="E24" s="1339">
        <f t="shared" si="5"/>
        <v>235200</v>
      </c>
      <c r="F24" s="979">
        <f>'Chi tiết'!H77</f>
        <v>235200</v>
      </c>
      <c r="G24" s="979">
        <f>'Chi tiết'!I77</f>
        <v>0</v>
      </c>
      <c r="H24" s="979">
        <f>'Chi tiết'!J77</f>
        <v>0</v>
      </c>
      <c r="I24" s="979">
        <f>'Chi tiết'!K77</f>
        <v>0</v>
      </c>
      <c r="J24" s="979">
        <f>'Chi tiết'!L77</f>
        <v>0</v>
      </c>
      <c r="K24" s="979">
        <f>'Chi tiết'!M77</f>
        <v>90382</v>
      </c>
      <c r="L24" s="979">
        <f>'Chi tiết'!N77</f>
        <v>17000</v>
      </c>
      <c r="M24" s="979">
        <f>'Chi tiết'!O77</f>
        <v>2500</v>
      </c>
      <c r="N24" s="979">
        <f>'Chi tiết'!P77</f>
        <v>6220</v>
      </c>
      <c r="O24" s="979">
        <f>'Chi tiết'!Q77</f>
        <v>23000</v>
      </c>
      <c r="P24" s="979">
        <f>'Chi tiết'!R77</f>
        <v>4380</v>
      </c>
      <c r="Q24" s="979">
        <f>'Chi tiết'!S77</f>
        <v>1120</v>
      </c>
      <c r="R24" s="979">
        <f>'Chi tiết'!T77</f>
        <v>8100</v>
      </c>
      <c r="S24" s="979">
        <f>'Chi tiết'!U77</f>
        <v>7452</v>
      </c>
      <c r="T24" s="979">
        <f>'Chi tiết'!V77</f>
        <v>12700</v>
      </c>
      <c r="U24" s="979">
        <f>'Chi tiết'!W77</f>
        <v>3100</v>
      </c>
      <c r="V24" s="979">
        <f>'Chi tiết'!X77</f>
        <v>2160</v>
      </c>
      <c r="W24" s="979">
        <f>'Chi tiết'!Y77</f>
        <v>2650</v>
      </c>
    </row>
    <row r="25" spans="1:23">
      <c r="A25" s="1376" t="s">
        <v>253</v>
      </c>
      <c r="B25" s="1373" t="s">
        <v>34</v>
      </c>
      <c r="C25" s="858" t="s">
        <v>20</v>
      </c>
      <c r="D25" s="1339">
        <f t="shared" si="1"/>
        <v>338548</v>
      </c>
      <c r="E25" s="1339">
        <f t="shared" si="5"/>
        <v>109780</v>
      </c>
      <c r="F25" s="979">
        <f>'Chi tiết'!H96</f>
        <v>109780</v>
      </c>
      <c r="G25" s="979">
        <f>'Chi tiết'!I96</f>
        <v>0</v>
      </c>
      <c r="H25" s="979">
        <f>'Chi tiết'!J96</f>
        <v>0</v>
      </c>
      <c r="I25" s="979">
        <f>'Chi tiết'!K96</f>
        <v>0</v>
      </c>
      <c r="J25" s="979">
        <f>'Chi tiết'!L96</f>
        <v>0</v>
      </c>
      <c r="K25" s="979">
        <f>'Chi tiết'!M96</f>
        <v>228768</v>
      </c>
      <c r="L25" s="979">
        <f>'Chi tiết'!N96</f>
        <v>16683</v>
      </c>
      <c r="M25" s="979">
        <f>'Chi tiết'!O96</f>
        <v>15978</v>
      </c>
      <c r="N25" s="979">
        <f>'Chi tiết'!P96</f>
        <v>8259</v>
      </c>
      <c r="O25" s="979">
        <f>'Chi tiết'!Q96</f>
        <v>21600</v>
      </c>
      <c r="P25" s="979">
        <f>'Chi tiết'!R96</f>
        <v>14080</v>
      </c>
      <c r="Q25" s="979">
        <f>'Chi tiết'!S96</f>
        <v>12388</v>
      </c>
      <c r="R25" s="979">
        <f>'Chi tiết'!T96</f>
        <v>19960</v>
      </c>
      <c r="S25" s="979">
        <f>'Chi tiết'!U96</f>
        <v>33270</v>
      </c>
      <c r="T25" s="979">
        <f>'Chi tiết'!V96</f>
        <v>37500</v>
      </c>
      <c r="U25" s="979">
        <f>'Chi tiết'!W96</f>
        <v>5000</v>
      </c>
      <c r="V25" s="979">
        <f>'Chi tiết'!X96</f>
        <v>16800</v>
      </c>
      <c r="W25" s="979">
        <f>'Chi tiết'!Y96</f>
        <v>27250</v>
      </c>
    </row>
    <row r="26" spans="1:23" ht="24">
      <c r="A26" s="1376" t="s">
        <v>254</v>
      </c>
      <c r="B26" s="1373" t="s">
        <v>34</v>
      </c>
      <c r="C26" s="858" t="s">
        <v>21</v>
      </c>
      <c r="D26" s="1339">
        <f t="shared" si="1"/>
        <v>2591097</v>
      </c>
      <c r="E26" s="1339">
        <f t="shared" si="5"/>
        <v>460000</v>
      </c>
      <c r="F26" s="979">
        <f>'Chi tiết'!H117</f>
        <v>460000</v>
      </c>
      <c r="G26" s="979">
        <f>'Chi tiết'!I117</f>
        <v>0</v>
      </c>
      <c r="H26" s="979">
        <f>'Chi tiết'!J117</f>
        <v>0</v>
      </c>
      <c r="I26" s="979">
        <f>'Chi tiết'!K117</f>
        <v>0</v>
      </c>
      <c r="J26" s="979">
        <f>'Chi tiết'!L117</f>
        <v>0</v>
      </c>
      <c r="K26" s="979">
        <f>'Chi tiết'!M117</f>
        <v>2131097</v>
      </c>
      <c r="L26" s="979">
        <f>'Chi tiết'!N117</f>
        <v>9974</v>
      </c>
      <c r="M26" s="979">
        <f>'Chi tiết'!O117</f>
        <v>32000</v>
      </c>
      <c r="N26" s="979">
        <f>'Chi tiết'!P117</f>
        <v>33558</v>
      </c>
      <c r="O26" s="979">
        <f>'Chi tiết'!Q117</f>
        <v>191575</v>
      </c>
      <c r="P26" s="979">
        <f>'Chi tiết'!R117</f>
        <v>236700</v>
      </c>
      <c r="Q26" s="979">
        <f>'Chi tiết'!S117</f>
        <v>47525</v>
      </c>
      <c r="R26" s="979">
        <f>'Chi tiết'!T117</f>
        <v>406650</v>
      </c>
      <c r="S26" s="979">
        <f>'Chi tiết'!U117</f>
        <v>257640</v>
      </c>
      <c r="T26" s="979">
        <f>'Chi tiết'!V117</f>
        <v>449885</v>
      </c>
      <c r="U26" s="979">
        <f>'Chi tiết'!W117</f>
        <v>157540</v>
      </c>
      <c r="V26" s="979">
        <f>'Chi tiết'!X117</f>
        <v>167370</v>
      </c>
      <c r="W26" s="979">
        <f>'Chi tiết'!Y117</f>
        <v>140680</v>
      </c>
    </row>
    <row r="27" spans="1:23" ht="24">
      <c r="A27" s="1377">
        <v>3</v>
      </c>
      <c r="B27" s="1373" t="s">
        <v>34</v>
      </c>
      <c r="C27" s="1374" t="s">
        <v>235</v>
      </c>
      <c r="D27" s="1339">
        <f t="shared" si="1"/>
        <v>2052662.2039999999</v>
      </c>
      <c r="E27" s="1339">
        <f t="shared" si="5"/>
        <v>721080</v>
      </c>
      <c r="F27" s="979">
        <f>'Chi tiết'!H148</f>
        <v>721080</v>
      </c>
      <c r="G27" s="979">
        <f>'Chi tiết'!I148</f>
        <v>0</v>
      </c>
      <c r="H27" s="979">
        <f>'Chi tiết'!J148</f>
        <v>0</v>
      </c>
      <c r="I27" s="979">
        <f>'Chi tiết'!K148</f>
        <v>0</v>
      </c>
      <c r="J27" s="979">
        <f>'Chi tiết'!L148</f>
        <v>0</v>
      </c>
      <c r="K27" s="979">
        <f>'Chi tiết'!M148</f>
        <v>1331582.2039999999</v>
      </c>
      <c r="L27" s="979">
        <f>'Chi tiết'!N148</f>
        <v>173466</v>
      </c>
      <c r="M27" s="979">
        <f>'Chi tiết'!O148</f>
        <v>108594.204</v>
      </c>
      <c r="N27" s="979">
        <f>'Chi tiết'!P148</f>
        <v>109844</v>
      </c>
      <c r="O27" s="979">
        <f>'Chi tiết'!Q148</f>
        <v>129841</v>
      </c>
      <c r="P27" s="979">
        <f>'Chi tiết'!R148</f>
        <v>95786</v>
      </c>
      <c r="Q27" s="979">
        <f>'Chi tiết'!S148</f>
        <v>65890</v>
      </c>
      <c r="R27" s="979">
        <f>'Chi tiết'!T148</f>
        <v>103915</v>
      </c>
      <c r="S27" s="979">
        <f>'Chi tiết'!U148</f>
        <v>197720</v>
      </c>
      <c r="T27" s="979">
        <f>'Chi tiết'!V148</f>
        <v>178096</v>
      </c>
      <c r="U27" s="979">
        <f>'Chi tiết'!W148</f>
        <v>46380</v>
      </c>
      <c r="V27" s="979">
        <f>'Chi tiết'!X148</f>
        <v>20580</v>
      </c>
      <c r="W27" s="979">
        <f>'Chi tiết'!Y148</f>
        <v>101470</v>
      </c>
    </row>
    <row r="28" spans="1:23" ht="24">
      <c r="A28" s="1376" t="s">
        <v>245</v>
      </c>
      <c r="B28" s="1373" t="s">
        <v>34</v>
      </c>
      <c r="C28" s="858" t="s">
        <v>23</v>
      </c>
      <c r="D28" s="1339">
        <f t="shared" si="1"/>
        <v>280620</v>
      </c>
      <c r="E28" s="1339">
        <f t="shared" si="5"/>
        <v>62800</v>
      </c>
      <c r="F28" s="979">
        <f>'Chi tiết'!H149</f>
        <v>62800</v>
      </c>
      <c r="G28" s="979">
        <f>'Chi tiết'!I149</f>
        <v>0</v>
      </c>
      <c r="H28" s="979">
        <f>'Chi tiết'!J149</f>
        <v>0</v>
      </c>
      <c r="I28" s="979">
        <f>'Chi tiết'!K149</f>
        <v>0</v>
      </c>
      <c r="J28" s="979">
        <f>'Chi tiết'!L149</f>
        <v>0</v>
      </c>
      <c r="K28" s="979">
        <f>'Chi tiết'!M149</f>
        <v>217820</v>
      </c>
      <c r="L28" s="979">
        <f>'Chi tiết'!N149</f>
        <v>41700</v>
      </c>
      <c r="M28" s="979">
        <f>'Chi tiết'!O149</f>
        <v>51100</v>
      </c>
      <c r="N28" s="979">
        <f>'Chi tiết'!P149</f>
        <v>36360</v>
      </c>
      <c r="O28" s="979">
        <f>'Chi tiết'!Q149</f>
        <v>12600</v>
      </c>
      <c r="P28" s="979">
        <f>'Chi tiết'!R149</f>
        <v>17500</v>
      </c>
      <c r="Q28" s="979">
        <f>'Chi tiết'!S149</f>
        <v>1700</v>
      </c>
      <c r="R28" s="979">
        <f>'Chi tiết'!T149</f>
        <v>19560</v>
      </c>
      <c r="S28" s="979">
        <f>'Chi tiết'!U149</f>
        <v>14880</v>
      </c>
      <c r="T28" s="979">
        <f>'Chi tiết'!V149</f>
        <v>12760</v>
      </c>
      <c r="U28" s="979">
        <f>'Chi tiết'!W149</f>
        <v>7500</v>
      </c>
      <c r="V28" s="979">
        <f>'Chi tiết'!X149</f>
        <v>2160</v>
      </c>
      <c r="W28" s="979">
        <f>'Chi tiết'!Y149</f>
        <v>0</v>
      </c>
    </row>
    <row r="29" spans="1:23" ht="24">
      <c r="A29" s="1376" t="s">
        <v>246</v>
      </c>
      <c r="B29" s="1373" t="s">
        <v>34</v>
      </c>
      <c r="C29" s="858" t="s">
        <v>304</v>
      </c>
      <c r="D29" s="1339">
        <f t="shared" si="1"/>
        <v>378040</v>
      </c>
      <c r="E29" s="1339">
        <f t="shared" si="5"/>
        <v>181000</v>
      </c>
      <c r="F29" s="979">
        <f>'Chi tiết'!H162</f>
        <v>181000</v>
      </c>
      <c r="G29" s="979">
        <f>'Chi tiết'!I162</f>
        <v>0</v>
      </c>
      <c r="H29" s="979">
        <f>'Chi tiết'!J162</f>
        <v>0</v>
      </c>
      <c r="I29" s="979">
        <f>'Chi tiết'!K162</f>
        <v>0</v>
      </c>
      <c r="J29" s="979">
        <f>'Chi tiết'!L162</f>
        <v>0</v>
      </c>
      <c r="K29" s="979">
        <f>'Chi tiết'!M162</f>
        <v>197040</v>
      </c>
      <c r="L29" s="979">
        <f>'Chi tiết'!N162</f>
        <v>7875</v>
      </c>
      <c r="M29" s="979">
        <f>'Chi tiết'!O162</f>
        <v>2160</v>
      </c>
      <c r="N29" s="979">
        <f>'Chi tiết'!P162</f>
        <v>19180</v>
      </c>
      <c r="O29" s="979">
        <f>'Chi tiết'!Q162</f>
        <v>9750</v>
      </c>
      <c r="P29" s="979">
        <f>'Chi tiết'!R162</f>
        <v>32516</v>
      </c>
      <c r="Q29" s="979">
        <f>'Chi tiết'!S162</f>
        <v>30380</v>
      </c>
      <c r="R29" s="979">
        <f>'Chi tiết'!T162</f>
        <v>12135</v>
      </c>
      <c r="S29" s="979">
        <f>'Chi tiết'!U162</f>
        <v>14952</v>
      </c>
      <c r="T29" s="979">
        <f>'Chi tiết'!V162</f>
        <v>32472</v>
      </c>
      <c r="U29" s="979">
        <f>'Chi tiết'!W162</f>
        <v>10800</v>
      </c>
      <c r="V29" s="979">
        <f>'Chi tiết'!X162</f>
        <v>7440</v>
      </c>
      <c r="W29" s="979">
        <f>'Chi tiết'!Y162</f>
        <v>17380</v>
      </c>
    </row>
    <row r="30" spans="1:23" ht="24">
      <c r="A30" s="1376" t="s">
        <v>247</v>
      </c>
      <c r="B30" s="1373" t="s">
        <v>34</v>
      </c>
      <c r="C30" s="1374" t="s">
        <v>237</v>
      </c>
      <c r="D30" s="1339">
        <f t="shared" si="1"/>
        <v>1236302</v>
      </c>
      <c r="E30" s="1339">
        <f t="shared" si="5"/>
        <v>402280</v>
      </c>
      <c r="F30" s="979">
        <f>'Chi tiết'!H185</f>
        <v>402280</v>
      </c>
      <c r="G30" s="979">
        <f>'Chi tiết'!I185</f>
        <v>0</v>
      </c>
      <c r="H30" s="979">
        <f>'Chi tiết'!J185</f>
        <v>0</v>
      </c>
      <c r="I30" s="979">
        <f>'Chi tiết'!K185</f>
        <v>0</v>
      </c>
      <c r="J30" s="979">
        <f>'Chi tiết'!L185</f>
        <v>0</v>
      </c>
      <c r="K30" s="979">
        <f>'Chi tiết'!M185</f>
        <v>834022</v>
      </c>
      <c r="L30" s="979">
        <f>'Chi tiết'!N185</f>
        <v>81945</v>
      </c>
      <c r="M30" s="979">
        <f>'Chi tiết'!O185</f>
        <v>50900</v>
      </c>
      <c r="N30" s="979">
        <f>'Chi tiết'!P185</f>
        <v>52124</v>
      </c>
      <c r="O30" s="979">
        <f>'Chi tiết'!Q185</f>
        <v>102891</v>
      </c>
      <c r="P30" s="979">
        <f>'Chi tiết'!R185</f>
        <v>45770</v>
      </c>
      <c r="Q30" s="979">
        <f>'Chi tiết'!S185</f>
        <v>32330</v>
      </c>
      <c r="R30" s="979">
        <f>'Chi tiết'!T185</f>
        <v>61480</v>
      </c>
      <c r="S30" s="979">
        <f>'Chi tiết'!U185</f>
        <v>167888</v>
      </c>
      <c r="T30" s="979">
        <f>'Chi tiết'!V185</f>
        <v>128604</v>
      </c>
      <c r="U30" s="979">
        <f>'Chi tiết'!W185</f>
        <v>22030</v>
      </c>
      <c r="V30" s="979">
        <f>'Chi tiết'!X185</f>
        <v>7620</v>
      </c>
      <c r="W30" s="979">
        <f>'Chi tiết'!Y185</f>
        <v>80440</v>
      </c>
    </row>
    <row r="31" spans="1:23" ht="36">
      <c r="A31" s="1376" t="s">
        <v>828</v>
      </c>
      <c r="B31" s="1373" t="s">
        <v>34</v>
      </c>
      <c r="C31" s="858" t="s">
        <v>24</v>
      </c>
      <c r="D31" s="1339">
        <f t="shared" si="1"/>
        <v>157700.204</v>
      </c>
      <c r="E31" s="1339">
        <f t="shared" si="5"/>
        <v>75000</v>
      </c>
      <c r="F31" s="979">
        <f>'Chi tiết'!H204</f>
        <v>75000</v>
      </c>
      <c r="G31" s="979">
        <f>'Chi tiết'!I204</f>
        <v>0</v>
      </c>
      <c r="H31" s="979">
        <f>'Chi tiết'!J204</f>
        <v>0</v>
      </c>
      <c r="I31" s="979">
        <f>'Chi tiết'!K204</f>
        <v>0</v>
      </c>
      <c r="J31" s="979">
        <f>'Chi tiết'!L204</f>
        <v>0</v>
      </c>
      <c r="K31" s="979">
        <f>'Chi tiết'!M204</f>
        <v>82700.203999999998</v>
      </c>
      <c r="L31" s="979">
        <f>'Chi tiết'!N204</f>
        <v>41946</v>
      </c>
      <c r="M31" s="979">
        <f>'Chi tiết'!O204</f>
        <v>4434.2039999999997</v>
      </c>
      <c r="N31" s="979">
        <f>'Chi tiết'!P204</f>
        <v>2180</v>
      </c>
      <c r="O31" s="979">
        <f>'Chi tiết'!Q204</f>
        <v>4600</v>
      </c>
      <c r="P31" s="979">
        <f>'Chi tiết'!R204</f>
        <v>0</v>
      </c>
      <c r="Q31" s="979">
        <f>'Chi tiết'!S204</f>
        <v>1480</v>
      </c>
      <c r="R31" s="979">
        <f>'Chi tiết'!T204</f>
        <v>10740</v>
      </c>
      <c r="S31" s="979">
        <f>'Chi tiết'!U204</f>
        <v>0</v>
      </c>
      <c r="T31" s="979">
        <f>'Chi tiết'!V204</f>
        <v>4260</v>
      </c>
      <c r="U31" s="979">
        <f>'Chi tiết'!W204</f>
        <v>6050</v>
      </c>
      <c r="V31" s="979">
        <f>'Chi tiết'!X204</f>
        <v>3360</v>
      </c>
      <c r="W31" s="979">
        <f>'Chi tiết'!Y204</f>
        <v>3650</v>
      </c>
    </row>
    <row r="32" spans="1:23">
      <c r="A32" s="1377">
        <v>4</v>
      </c>
      <c r="B32" s="1373" t="s">
        <v>34</v>
      </c>
      <c r="C32" s="832" t="s">
        <v>240</v>
      </c>
      <c r="D32" s="1339">
        <f t="shared" si="1"/>
        <v>314298</v>
      </c>
      <c r="E32" s="1339">
        <f t="shared" si="5"/>
        <v>165000</v>
      </c>
      <c r="F32" s="979">
        <f>'Chi tiết'!H212</f>
        <v>165000</v>
      </c>
      <c r="G32" s="979">
        <f>'Chi tiết'!I212</f>
        <v>0</v>
      </c>
      <c r="H32" s="979">
        <f>'Chi tiết'!J212</f>
        <v>0</v>
      </c>
      <c r="I32" s="979">
        <f>'Chi tiết'!K212</f>
        <v>0</v>
      </c>
      <c r="J32" s="979">
        <f>'Chi tiết'!L212</f>
        <v>0</v>
      </c>
      <c r="K32" s="979">
        <f>'Chi tiết'!M212</f>
        <v>149298</v>
      </c>
      <c r="L32" s="979">
        <f>'Chi tiết'!N212</f>
        <v>9800</v>
      </c>
      <c r="M32" s="979">
        <f>'Chi tiết'!O212</f>
        <v>36200</v>
      </c>
      <c r="N32" s="979">
        <f>'Chi tiết'!P212</f>
        <v>4680</v>
      </c>
      <c r="O32" s="979">
        <f>'Chi tiết'!Q212</f>
        <v>6390</v>
      </c>
      <c r="P32" s="979">
        <f>'Chi tiết'!R212</f>
        <v>2820</v>
      </c>
      <c r="Q32" s="979">
        <f>'Chi tiết'!S212</f>
        <v>9010</v>
      </c>
      <c r="R32" s="979">
        <f>'Chi tiết'!T212</f>
        <v>12710</v>
      </c>
      <c r="S32" s="979">
        <f>'Chi tiết'!U212</f>
        <v>9700</v>
      </c>
      <c r="T32" s="979">
        <f>'Chi tiết'!V212</f>
        <v>13920</v>
      </c>
      <c r="U32" s="979">
        <f>'Chi tiết'!W212</f>
        <v>29828</v>
      </c>
      <c r="V32" s="979">
        <f>'Chi tiết'!X212</f>
        <v>6200</v>
      </c>
      <c r="W32" s="979">
        <f>'Chi tiết'!Y212</f>
        <v>8040</v>
      </c>
    </row>
    <row r="33" spans="1:23">
      <c r="A33" s="1375">
        <v>5</v>
      </c>
      <c r="B33" s="1373" t="s">
        <v>34</v>
      </c>
      <c r="C33" s="1374" t="s">
        <v>236</v>
      </c>
      <c r="D33" s="1339">
        <f t="shared" si="1"/>
        <v>11404126</v>
      </c>
      <c r="E33" s="1339">
        <f t="shared" si="5"/>
        <v>1230070</v>
      </c>
      <c r="F33" s="979">
        <f>'Chi tiết'!H232</f>
        <v>1230070</v>
      </c>
      <c r="G33" s="979">
        <f>'Chi tiết'!I232</f>
        <v>0</v>
      </c>
      <c r="H33" s="979">
        <f>'Chi tiết'!J232</f>
        <v>0</v>
      </c>
      <c r="I33" s="979">
        <f>'Chi tiết'!K232</f>
        <v>0</v>
      </c>
      <c r="J33" s="979">
        <f>'Chi tiết'!L232</f>
        <v>0</v>
      </c>
      <c r="K33" s="979">
        <f>'Chi tiết'!M232</f>
        <v>10174056</v>
      </c>
      <c r="L33" s="979">
        <f>'Chi tiết'!N232</f>
        <v>2372983</v>
      </c>
      <c r="M33" s="979">
        <f>'Chi tiết'!O232</f>
        <v>643210</v>
      </c>
      <c r="N33" s="979">
        <f>'Chi tiết'!P232</f>
        <v>801695</v>
      </c>
      <c r="O33" s="979">
        <f>'Chi tiết'!Q232</f>
        <v>1123086</v>
      </c>
      <c r="P33" s="979">
        <f>'Chi tiết'!R232</f>
        <v>1101526</v>
      </c>
      <c r="Q33" s="979">
        <f>'Chi tiết'!S232</f>
        <v>711665</v>
      </c>
      <c r="R33" s="979">
        <f>'Chi tiết'!T232</f>
        <v>762900</v>
      </c>
      <c r="S33" s="979">
        <f>'Chi tiết'!U232</f>
        <v>284308</v>
      </c>
      <c r="T33" s="979">
        <f>'Chi tiết'!V232</f>
        <v>864591</v>
      </c>
      <c r="U33" s="979">
        <f>'Chi tiết'!W232</f>
        <v>536240</v>
      </c>
      <c r="V33" s="979">
        <f>'Chi tiết'!X232</f>
        <v>471069</v>
      </c>
      <c r="W33" s="979">
        <f>'Chi tiết'!Y232</f>
        <v>500783</v>
      </c>
    </row>
    <row r="34" spans="1:23">
      <c r="A34" s="1378">
        <v>6</v>
      </c>
      <c r="B34" s="1378" t="s">
        <v>572</v>
      </c>
      <c r="C34" s="1379" t="s">
        <v>559</v>
      </c>
      <c r="D34" s="1339">
        <f>E34+K34</f>
        <v>16142224</v>
      </c>
      <c r="E34" s="1339">
        <f t="shared" si="5"/>
        <v>6228662</v>
      </c>
      <c r="F34" s="979">
        <f>'Chi tiết'!H263</f>
        <v>0</v>
      </c>
      <c r="G34" s="979">
        <f>'Chi tiết'!I263</f>
        <v>0</v>
      </c>
      <c r="H34" s="979">
        <f>'Chi tiết'!J263</f>
        <v>6228662</v>
      </c>
      <c r="I34" s="979">
        <f>'Chi tiết'!K263</f>
        <v>0</v>
      </c>
      <c r="J34" s="979">
        <f>'Chi tiết'!L263</f>
        <v>0</v>
      </c>
      <c r="K34" s="979">
        <f>'Chi tiết'!M263</f>
        <v>9913562</v>
      </c>
      <c r="L34" s="979">
        <f>'Chi tiết'!N263</f>
        <v>962276</v>
      </c>
      <c r="M34" s="979">
        <f>'Chi tiết'!O263</f>
        <v>330975</v>
      </c>
      <c r="N34" s="979">
        <f>'Chi tiết'!P263</f>
        <v>791760</v>
      </c>
      <c r="O34" s="979">
        <f>'Chi tiết'!Q263</f>
        <v>1370854</v>
      </c>
      <c r="P34" s="979">
        <f>'Chi tiết'!R263</f>
        <v>1092236</v>
      </c>
      <c r="Q34" s="979">
        <f>'Chi tiết'!S263</f>
        <v>712553</v>
      </c>
      <c r="R34" s="979">
        <f>'Chi tiết'!T263</f>
        <v>1352521</v>
      </c>
      <c r="S34" s="979">
        <f>'Chi tiết'!U263</f>
        <v>853806</v>
      </c>
      <c r="T34" s="979">
        <f>'Chi tiết'!V263</f>
        <v>945364</v>
      </c>
      <c r="U34" s="979">
        <f>'Chi tiết'!W263</f>
        <v>439444</v>
      </c>
      <c r="V34" s="979">
        <f>'Chi tiết'!X263</f>
        <v>586399</v>
      </c>
      <c r="W34" s="979">
        <f>'Chi tiết'!Y263</f>
        <v>475374</v>
      </c>
    </row>
    <row r="35" spans="1:23" ht="36">
      <c r="A35" s="1377">
        <v>7</v>
      </c>
      <c r="B35" s="1380" t="s">
        <v>4</v>
      </c>
      <c r="C35" s="858" t="s">
        <v>25</v>
      </c>
      <c r="D35" s="1339">
        <f t="shared" si="1"/>
        <v>598903</v>
      </c>
      <c r="E35" s="1339">
        <f t="shared" si="5"/>
        <v>196899</v>
      </c>
      <c r="F35" s="979">
        <f>'Chi tiết'!H313</f>
        <v>0</v>
      </c>
      <c r="G35" s="979">
        <f>'Chi tiết'!I313</f>
        <v>0</v>
      </c>
      <c r="H35" s="979">
        <f>'Chi tiết'!J313</f>
        <v>0</v>
      </c>
      <c r="I35" s="979">
        <f>'Chi tiết'!K313</f>
        <v>0</v>
      </c>
      <c r="J35" s="979">
        <f>'Chi tiết'!L313</f>
        <v>196899</v>
      </c>
      <c r="K35" s="979">
        <f>'Chi tiết'!M313</f>
        <v>402004</v>
      </c>
      <c r="L35" s="979">
        <f>'Chi tiết'!N313</f>
        <v>129971</v>
      </c>
      <c r="M35" s="979">
        <f>'Chi tiết'!O313</f>
        <v>8000</v>
      </c>
      <c r="N35" s="979">
        <f>'Chi tiết'!P313</f>
        <v>4678</v>
      </c>
      <c r="O35" s="979">
        <f>'Chi tiết'!Q313</f>
        <v>129000</v>
      </c>
      <c r="P35" s="979">
        <f>'Chi tiết'!R313</f>
        <v>24080</v>
      </c>
      <c r="Q35" s="979">
        <f>'Chi tiết'!S313</f>
        <v>26826</v>
      </c>
      <c r="R35" s="979">
        <f>'Chi tiết'!T313</f>
        <v>16829</v>
      </c>
      <c r="S35" s="979">
        <f>'Chi tiết'!U313</f>
        <v>0</v>
      </c>
      <c r="T35" s="979">
        <f>'Chi tiết'!V313</f>
        <v>3660</v>
      </c>
      <c r="U35" s="979">
        <f>'Chi tiết'!W313</f>
        <v>31950</v>
      </c>
      <c r="V35" s="979">
        <f>'Chi tiết'!X313</f>
        <v>5650</v>
      </c>
      <c r="W35" s="979">
        <f>'Chi tiết'!Y313</f>
        <v>21360</v>
      </c>
    </row>
    <row r="36" spans="1:23" ht="24">
      <c r="A36" s="1376">
        <v>8</v>
      </c>
      <c r="B36" s="1381" t="s">
        <v>34</v>
      </c>
      <c r="C36" s="1374" t="s">
        <v>533</v>
      </c>
      <c r="D36" s="1339">
        <f t="shared" si="1"/>
        <v>1815705.04</v>
      </c>
      <c r="E36" s="1339">
        <f t="shared" si="5"/>
        <v>260150</v>
      </c>
      <c r="F36" s="979">
        <f>'Chi tiết'!H325</f>
        <v>260150</v>
      </c>
      <c r="G36" s="979">
        <f>'Chi tiết'!I325</f>
        <v>0</v>
      </c>
      <c r="H36" s="979">
        <f>'Chi tiết'!J325</f>
        <v>0</v>
      </c>
      <c r="I36" s="979">
        <f>'Chi tiết'!K325</f>
        <v>0</v>
      </c>
      <c r="J36" s="979">
        <f>'Chi tiết'!L325</f>
        <v>0</v>
      </c>
      <c r="K36" s="979">
        <f>'Chi tiết'!M325</f>
        <v>1555555.04</v>
      </c>
      <c r="L36" s="979">
        <f>'Chi tiết'!N325</f>
        <v>229848</v>
      </c>
      <c r="M36" s="979">
        <f>'Chi tiết'!O325</f>
        <v>62900</v>
      </c>
      <c r="N36" s="979">
        <f>'Chi tiết'!P325</f>
        <v>143565</v>
      </c>
      <c r="O36" s="979">
        <f>'Chi tiết'!Q325</f>
        <v>35600</v>
      </c>
      <c r="P36" s="979">
        <f>'Chi tiết'!R325</f>
        <v>95136</v>
      </c>
      <c r="Q36" s="979">
        <f>'Chi tiết'!S325</f>
        <v>52040</v>
      </c>
      <c r="R36" s="979">
        <f>'Chi tiết'!T325</f>
        <v>17875</v>
      </c>
      <c r="S36" s="979">
        <f>'Chi tiết'!U325</f>
        <v>87264</v>
      </c>
      <c r="T36" s="979">
        <f>'Chi tiết'!V325</f>
        <v>666967.04000000004</v>
      </c>
      <c r="U36" s="979">
        <f>'Chi tiết'!W325</f>
        <v>66210</v>
      </c>
      <c r="V36" s="979">
        <f>'Chi tiết'!X325</f>
        <v>62650</v>
      </c>
      <c r="W36" s="979">
        <f>'Chi tiết'!Y325</f>
        <v>35500</v>
      </c>
    </row>
    <row r="37" spans="1:23" ht="24">
      <c r="A37" s="1376">
        <v>9</v>
      </c>
      <c r="B37" s="1381" t="s">
        <v>34</v>
      </c>
      <c r="C37" s="1374" t="s">
        <v>27</v>
      </c>
      <c r="D37" s="1339">
        <f t="shared" si="1"/>
        <v>1210007</v>
      </c>
      <c r="E37" s="1339">
        <f t="shared" si="5"/>
        <v>285000</v>
      </c>
      <c r="F37" s="979">
        <f>'Chi tiết'!H353</f>
        <v>285000</v>
      </c>
      <c r="G37" s="979">
        <f>'Chi tiết'!I353</f>
        <v>0</v>
      </c>
      <c r="H37" s="979">
        <f>'Chi tiết'!J353</f>
        <v>0</v>
      </c>
      <c r="I37" s="979">
        <f>'Chi tiết'!K353</f>
        <v>0</v>
      </c>
      <c r="J37" s="979">
        <f>'Chi tiết'!L353</f>
        <v>0</v>
      </c>
      <c r="K37" s="979">
        <f>'Chi tiết'!M353</f>
        <v>925007</v>
      </c>
      <c r="L37" s="979">
        <f>'Chi tiết'!N353</f>
        <v>61700</v>
      </c>
      <c r="M37" s="979">
        <f>'Chi tiết'!O353</f>
        <v>22000</v>
      </c>
      <c r="N37" s="979">
        <f>'Chi tiết'!P353</f>
        <v>50200</v>
      </c>
      <c r="O37" s="979">
        <f>'Chi tiết'!Q353</f>
        <v>20000</v>
      </c>
      <c r="P37" s="979">
        <f>'Chi tiết'!R353</f>
        <v>55594</v>
      </c>
      <c r="Q37" s="979">
        <f>'Chi tiết'!S353</f>
        <v>71495</v>
      </c>
      <c r="R37" s="979">
        <f>'Chi tiết'!T353</f>
        <v>164640</v>
      </c>
      <c r="S37" s="979">
        <f>'Chi tiết'!U353</f>
        <v>136378</v>
      </c>
      <c r="T37" s="979">
        <f>'Chi tiết'!V353</f>
        <v>142720</v>
      </c>
      <c r="U37" s="979">
        <f>'Chi tiết'!W353</f>
        <v>84680</v>
      </c>
      <c r="V37" s="979">
        <f>'Chi tiết'!X353</f>
        <v>76490</v>
      </c>
      <c r="W37" s="979">
        <f>'Chi tiết'!Y353</f>
        <v>39110</v>
      </c>
    </row>
    <row r="38" spans="1:23" ht="24">
      <c r="A38" s="1377" t="s">
        <v>259</v>
      </c>
      <c r="B38" s="1381" t="s">
        <v>34</v>
      </c>
      <c r="C38" s="1382" t="s">
        <v>129</v>
      </c>
      <c r="D38" s="1339">
        <f t="shared" si="1"/>
        <v>988897</v>
      </c>
      <c r="E38" s="1339">
        <f t="shared" si="5"/>
        <v>146000</v>
      </c>
      <c r="F38" s="979">
        <f>'Chi tiết'!H354</f>
        <v>146000</v>
      </c>
      <c r="G38" s="979">
        <f>'Chi tiết'!I354</f>
        <v>0</v>
      </c>
      <c r="H38" s="979">
        <f>'Chi tiết'!J354</f>
        <v>0</v>
      </c>
      <c r="I38" s="979">
        <f>'Chi tiết'!K354</f>
        <v>0</v>
      </c>
      <c r="J38" s="979">
        <f>'Chi tiết'!L354</f>
        <v>0</v>
      </c>
      <c r="K38" s="979">
        <f>'Chi tiết'!M354</f>
        <v>842897</v>
      </c>
      <c r="L38" s="979">
        <f>'Chi tiết'!N354</f>
        <v>51600</v>
      </c>
      <c r="M38" s="979">
        <f>'Chi tiết'!O354</f>
        <v>19000</v>
      </c>
      <c r="N38" s="979">
        <f>'Chi tiết'!P354</f>
        <v>47200</v>
      </c>
      <c r="O38" s="979">
        <f>'Chi tiết'!Q354</f>
        <v>16500</v>
      </c>
      <c r="P38" s="979">
        <f>'Chi tiết'!R354</f>
        <v>52094</v>
      </c>
      <c r="Q38" s="979">
        <f>'Chi tiết'!S354</f>
        <v>55865</v>
      </c>
      <c r="R38" s="979">
        <f>'Chi tiết'!T354</f>
        <v>156340</v>
      </c>
      <c r="S38" s="979">
        <f>'Chi tiết'!U354</f>
        <v>127178</v>
      </c>
      <c r="T38" s="979">
        <f>'Chi tiết'!V354</f>
        <v>135960</v>
      </c>
      <c r="U38" s="979">
        <f>'Chi tiết'!W354</f>
        <v>76960</v>
      </c>
      <c r="V38" s="979">
        <f>'Chi tiết'!X354</f>
        <v>70990</v>
      </c>
      <c r="W38" s="979">
        <f>'Chi tiết'!Y354</f>
        <v>33210</v>
      </c>
    </row>
    <row r="39" spans="1:23">
      <c r="A39" s="1377" t="s">
        <v>260</v>
      </c>
      <c r="B39" s="1381" t="s">
        <v>34</v>
      </c>
      <c r="C39" s="1382" t="s">
        <v>130</v>
      </c>
      <c r="D39" s="1339">
        <f t="shared" si="1"/>
        <v>221110</v>
      </c>
      <c r="E39" s="1339">
        <f t="shared" si="5"/>
        <v>139000</v>
      </c>
      <c r="F39" s="979">
        <f>'Chi tiết'!H373</f>
        <v>139000</v>
      </c>
      <c r="G39" s="979">
        <f>'Chi tiết'!I373</f>
        <v>0</v>
      </c>
      <c r="H39" s="979">
        <f>'Chi tiết'!J373</f>
        <v>0</v>
      </c>
      <c r="I39" s="979">
        <f>'Chi tiết'!K373</f>
        <v>0</v>
      </c>
      <c r="J39" s="979">
        <f>'Chi tiết'!L373</f>
        <v>0</v>
      </c>
      <c r="K39" s="979">
        <f>'Chi tiết'!M373</f>
        <v>82110</v>
      </c>
      <c r="L39" s="979">
        <f>'Chi tiết'!N373</f>
        <v>10100</v>
      </c>
      <c r="M39" s="979">
        <f>'Chi tiết'!O373</f>
        <v>3000</v>
      </c>
      <c r="N39" s="979">
        <f>'Chi tiết'!P373</f>
        <v>3000</v>
      </c>
      <c r="O39" s="979">
        <f>'Chi tiết'!Q373</f>
        <v>3500</v>
      </c>
      <c r="P39" s="979">
        <f>'Chi tiết'!R373</f>
        <v>3500</v>
      </c>
      <c r="Q39" s="979">
        <f>'Chi tiết'!S373</f>
        <v>15630</v>
      </c>
      <c r="R39" s="979">
        <f>'Chi tiết'!T373</f>
        <v>8300</v>
      </c>
      <c r="S39" s="979">
        <f>'Chi tiết'!U373</f>
        <v>9200</v>
      </c>
      <c r="T39" s="979">
        <f>'Chi tiết'!V373</f>
        <v>6760</v>
      </c>
      <c r="U39" s="979">
        <f>'Chi tiết'!W373</f>
        <v>7720</v>
      </c>
      <c r="V39" s="979">
        <f>'Chi tiết'!X373</f>
        <v>5500</v>
      </c>
      <c r="W39" s="979">
        <f>'Chi tiết'!Y373</f>
        <v>5900</v>
      </c>
    </row>
    <row r="40" spans="1:23">
      <c r="A40" s="1375">
        <v>10</v>
      </c>
      <c r="B40" s="1381" t="s">
        <v>34</v>
      </c>
      <c r="C40" s="1374" t="s">
        <v>238</v>
      </c>
      <c r="D40" s="1339">
        <f t="shared" si="1"/>
        <v>2294947</v>
      </c>
      <c r="E40" s="1339">
        <f t="shared" si="5"/>
        <v>1677860</v>
      </c>
      <c r="F40" s="979">
        <f>'Chi tiết'!H379</f>
        <v>320000</v>
      </c>
      <c r="G40" s="979">
        <f>'Chi tiết'!I379</f>
        <v>1357860</v>
      </c>
      <c r="H40" s="979">
        <f>'Chi tiết'!J379</f>
        <v>0</v>
      </c>
      <c r="I40" s="979">
        <f>'Chi tiết'!K379</f>
        <v>0</v>
      </c>
      <c r="J40" s="979">
        <f>'Chi tiết'!L379</f>
        <v>0</v>
      </c>
      <c r="K40" s="979">
        <f>'Chi tiết'!M379</f>
        <v>617087</v>
      </c>
      <c r="L40" s="979">
        <f>'Chi tiết'!N379</f>
        <v>123400</v>
      </c>
      <c r="M40" s="979">
        <f>'Chi tiết'!O379</f>
        <v>90000</v>
      </c>
      <c r="N40" s="979">
        <f>'Chi tiết'!P379</f>
        <v>8700</v>
      </c>
      <c r="O40" s="979">
        <f>'Chi tiết'!Q379</f>
        <v>24220</v>
      </c>
      <c r="P40" s="979">
        <f>'Chi tiết'!R379</f>
        <v>55180</v>
      </c>
      <c r="Q40" s="979">
        <f>'Chi tiết'!S379</f>
        <v>42000</v>
      </c>
      <c r="R40" s="979">
        <f>'Chi tiết'!T379</f>
        <v>4547</v>
      </c>
      <c r="S40" s="979">
        <f>'Chi tiết'!U379</f>
        <v>32440</v>
      </c>
      <c r="T40" s="979">
        <f>'Chi tiết'!V379</f>
        <v>41826</v>
      </c>
      <c r="U40" s="979">
        <f>'Chi tiết'!W379</f>
        <v>34010</v>
      </c>
      <c r="V40" s="979">
        <f>'Chi tiết'!X379</f>
        <v>85764</v>
      </c>
      <c r="W40" s="979">
        <f>'Chi tiết'!Y379</f>
        <v>75000</v>
      </c>
    </row>
    <row r="41" spans="1:23" ht="36">
      <c r="A41" s="1376" t="s">
        <v>583</v>
      </c>
      <c r="B41" s="1381" t="s">
        <v>34</v>
      </c>
      <c r="C41" s="1374" t="s">
        <v>28</v>
      </c>
      <c r="D41" s="1339">
        <f t="shared" si="1"/>
        <v>20000</v>
      </c>
      <c r="E41" s="1339">
        <f t="shared" si="5"/>
        <v>20000</v>
      </c>
      <c r="F41" s="979">
        <f>'Chi tiết'!H380</f>
        <v>20000</v>
      </c>
      <c r="G41" s="979">
        <f>'Chi tiết'!I380</f>
        <v>0</v>
      </c>
      <c r="H41" s="979">
        <f>'Chi tiết'!J380</f>
        <v>0</v>
      </c>
      <c r="I41" s="979">
        <f>'Chi tiết'!K380</f>
        <v>0</v>
      </c>
      <c r="J41" s="979">
        <f>'Chi tiết'!L380</f>
        <v>0</v>
      </c>
      <c r="K41" s="979">
        <f>'Chi tiết'!M380</f>
        <v>0</v>
      </c>
      <c r="L41" s="979">
        <f>'Chi tiết'!N380</f>
        <v>0</v>
      </c>
      <c r="M41" s="979">
        <f>'Chi tiết'!O380</f>
        <v>0</v>
      </c>
      <c r="N41" s="979">
        <f>'Chi tiết'!P380</f>
        <v>0</v>
      </c>
      <c r="O41" s="979">
        <f>'Chi tiết'!Q380</f>
        <v>0</v>
      </c>
      <c r="P41" s="979">
        <f>'Chi tiết'!R380</f>
        <v>0</v>
      </c>
      <c r="Q41" s="979">
        <f>'Chi tiết'!S380</f>
        <v>0</v>
      </c>
      <c r="R41" s="979">
        <f>'Chi tiết'!T380</f>
        <v>0</v>
      </c>
      <c r="S41" s="979">
        <f>'Chi tiết'!U380</f>
        <v>0</v>
      </c>
      <c r="T41" s="979">
        <f>'Chi tiết'!V380</f>
        <v>0</v>
      </c>
      <c r="U41" s="979">
        <f>'Chi tiết'!W380</f>
        <v>0</v>
      </c>
      <c r="V41" s="979">
        <f>'Chi tiết'!X380</f>
        <v>0</v>
      </c>
      <c r="W41" s="979">
        <f>'Chi tiết'!Y380</f>
        <v>0</v>
      </c>
    </row>
    <row r="42" spans="1:23">
      <c r="A42" s="1383" t="s">
        <v>584</v>
      </c>
      <c r="B42" s="1381" t="s">
        <v>1</v>
      </c>
      <c r="C42" s="918"/>
      <c r="D42" s="1339">
        <f t="shared" si="1"/>
        <v>1974947</v>
      </c>
      <c r="E42" s="1339">
        <f t="shared" si="5"/>
        <v>1357860</v>
      </c>
      <c r="F42" s="979">
        <f>'Chi tiết'!H385</f>
        <v>0</v>
      </c>
      <c r="G42" s="979">
        <f>'Chi tiết'!I385</f>
        <v>1357860</v>
      </c>
      <c r="H42" s="979">
        <f>'Chi tiết'!J385</f>
        <v>0</v>
      </c>
      <c r="I42" s="979">
        <f>'Chi tiết'!K385</f>
        <v>0</v>
      </c>
      <c r="J42" s="979">
        <f>'Chi tiết'!L385</f>
        <v>0</v>
      </c>
      <c r="K42" s="979">
        <f>'Chi tiết'!M385</f>
        <v>617087</v>
      </c>
      <c r="L42" s="979">
        <f>'Chi tiết'!N385</f>
        <v>123400</v>
      </c>
      <c r="M42" s="979">
        <f>'Chi tiết'!O385</f>
        <v>90000</v>
      </c>
      <c r="N42" s="979">
        <f>'Chi tiết'!P385</f>
        <v>8700</v>
      </c>
      <c r="O42" s="979">
        <f>'Chi tiết'!Q385</f>
        <v>24220</v>
      </c>
      <c r="P42" s="979">
        <f>'Chi tiết'!R385</f>
        <v>55180</v>
      </c>
      <c r="Q42" s="979">
        <f>'Chi tiết'!S385</f>
        <v>42000</v>
      </c>
      <c r="R42" s="979">
        <f>'Chi tiết'!T385</f>
        <v>4547</v>
      </c>
      <c r="S42" s="979">
        <f>'Chi tiết'!U385</f>
        <v>32440</v>
      </c>
      <c r="T42" s="979">
        <f>'Chi tiết'!V385</f>
        <v>41826</v>
      </c>
      <c r="U42" s="979">
        <f>'Chi tiết'!W385</f>
        <v>34010</v>
      </c>
      <c r="V42" s="979">
        <f>'Chi tiết'!X385</f>
        <v>85764</v>
      </c>
      <c r="W42" s="979">
        <f>'Chi tiết'!Y385</f>
        <v>75000</v>
      </c>
    </row>
    <row r="43" spans="1:23" ht="36">
      <c r="A43" s="1376" t="s">
        <v>255</v>
      </c>
      <c r="B43" s="1381" t="s">
        <v>34</v>
      </c>
      <c r="C43" s="858" t="s">
        <v>30</v>
      </c>
      <c r="D43" s="1339">
        <f t="shared" si="1"/>
        <v>300000</v>
      </c>
      <c r="E43" s="1339">
        <f t="shared" si="5"/>
        <v>300000</v>
      </c>
      <c r="F43" s="979">
        <f>'Chi tiết'!H395</f>
        <v>300000</v>
      </c>
      <c r="G43" s="979">
        <f>'Chi tiết'!I395</f>
        <v>0</v>
      </c>
      <c r="H43" s="979">
        <f>'Chi tiết'!J395</f>
        <v>0</v>
      </c>
      <c r="I43" s="979">
        <f>'Chi tiết'!K395</f>
        <v>0</v>
      </c>
      <c r="J43" s="979">
        <f>'Chi tiết'!L395</f>
        <v>0</v>
      </c>
      <c r="K43" s="979">
        <f>'Chi tiết'!M395</f>
        <v>0</v>
      </c>
      <c r="L43" s="979">
        <f>'Chi tiết'!N395</f>
        <v>0</v>
      </c>
      <c r="M43" s="979">
        <f>'Chi tiết'!O395</f>
        <v>0</v>
      </c>
      <c r="N43" s="979">
        <f>'Chi tiết'!P395</f>
        <v>0</v>
      </c>
      <c r="O43" s="979">
        <f>'Chi tiết'!Q395</f>
        <v>0</v>
      </c>
      <c r="P43" s="979">
        <f>'Chi tiết'!R395</f>
        <v>0</v>
      </c>
      <c r="Q43" s="979">
        <f>'Chi tiết'!S395</f>
        <v>0</v>
      </c>
      <c r="R43" s="979">
        <f>'Chi tiết'!T395</f>
        <v>0</v>
      </c>
      <c r="S43" s="979">
        <f>'Chi tiết'!U395</f>
        <v>0</v>
      </c>
      <c r="T43" s="979">
        <f>'Chi tiết'!V395</f>
        <v>0</v>
      </c>
      <c r="U43" s="979">
        <f>'Chi tiết'!W395</f>
        <v>0</v>
      </c>
      <c r="V43" s="979">
        <f>'Chi tiết'!X395</f>
        <v>0</v>
      </c>
      <c r="W43" s="979">
        <f>'Chi tiết'!Y395</f>
        <v>0</v>
      </c>
    </row>
    <row r="44" spans="1:23">
      <c r="A44" s="1375">
        <v>11</v>
      </c>
      <c r="B44" s="1381" t="s">
        <v>34</v>
      </c>
      <c r="C44" s="1374" t="s">
        <v>312</v>
      </c>
      <c r="D44" s="1339">
        <f t="shared" si="1"/>
        <v>3742086</v>
      </c>
      <c r="E44" s="1339">
        <f t="shared" si="5"/>
        <v>2713000</v>
      </c>
      <c r="F44" s="979">
        <f>'Chi tiết'!H405</f>
        <v>2713000</v>
      </c>
      <c r="G44" s="979">
        <f>'Chi tiết'!I405</f>
        <v>0</v>
      </c>
      <c r="H44" s="979">
        <f>'Chi tiết'!J405</f>
        <v>0</v>
      </c>
      <c r="I44" s="979">
        <f>'Chi tiết'!K405</f>
        <v>0</v>
      </c>
      <c r="J44" s="979">
        <f>'Chi tiết'!L405</f>
        <v>0</v>
      </c>
      <c r="K44" s="979">
        <f>'Chi tiết'!M405</f>
        <v>1029086</v>
      </c>
      <c r="L44" s="979">
        <f>'Chi tiết'!N405</f>
        <v>179400</v>
      </c>
      <c r="M44" s="979">
        <f>'Chi tiết'!O405</f>
        <v>36000</v>
      </c>
      <c r="N44" s="979">
        <f>'Chi tiết'!P405</f>
        <v>2400</v>
      </c>
      <c r="O44" s="979">
        <f>'Chi tiết'!Q405</f>
        <v>43390</v>
      </c>
      <c r="P44" s="979">
        <f>'Chi tiết'!R405</f>
        <v>63376</v>
      </c>
      <c r="Q44" s="979">
        <f>'Chi tiết'!S405</f>
        <v>72110</v>
      </c>
      <c r="R44" s="979">
        <f>'Chi tiết'!T405</f>
        <v>90500</v>
      </c>
      <c r="S44" s="979">
        <f>'Chi tiết'!U405</f>
        <v>106130</v>
      </c>
      <c r="T44" s="979">
        <f>'Chi tiết'!V405</f>
        <v>230620</v>
      </c>
      <c r="U44" s="979">
        <f>'Chi tiết'!W405</f>
        <v>28000</v>
      </c>
      <c r="V44" s="979">
        <f>'Chi tiết'!X405</f>
        <v>94116</v>
      </c>
      <c r="W44" s="979">
        <f>'Chi tiết'!Y405</f>
        <v>83044</v>
      </c>
    </row>
    <row r="45" spans="1:23" ht="24">
      <c r="A45" s="1384">
        <v>12</v>
      </c>
      <c r="B45" s="1381" t="s">
        <v>34</v>
      </c>
      <c r="C45" s="1385" t="s">
        <v>22</v>
      </c>
      <c r="D45" s="1339">
        <f t="shared" si="1"/>
        <v>1879464.2</v>
      </c>
      <c r="E45" s="1339">
        <f t="shared" si="5"/>
        <v>380000</v>
      </c>
      <c r="F45" s="979">
        <f>'Chi tiết'!H428</f>
        <v>380000</v>
      </c>
      <c r="G45" s="979">
        <f>'Chi tiết'!I428</f>
        <v>0</v>
      </c>
      <c r="H45" s="979">
        <f>'Chi tiết'!J428</f>
        <v>0</v>
      </c>
      <c r="I45" s="979">
        <f>'Chi tiết'!K428</f>
        <v>0</v>
      </c>
      <c r="J45" s="979">
        <f>'Chi tiết'!L428</f>
        <v>0</v>
      </c>
      <c r="K45" s="979">
        <f>'Chi tiết'!M428</f>
        <v>1499464.2</v>
      </c>
      <c r="L45" s="979">
        <f>'Chi tiết'!N428</f>
        <v>485643</v>
      </c>
      <c r="M45" s="979">
        <f>'Chi tiết'!O428</f>
        <v>37314</v>
      </c>
      <c r="N45" s="979">
        <f>'Chi tiết'!P428</f>
        <v>20344</v>
      </c>
      <c r="O45" s="979">
        <f>'Chi tiết'!Q428</f>
        <v>109438</v>
      </c>
      <c r="P45" s="979">
        <f>'Chi tiết'!R428</f>
        <v>138000</v>
      </c>
      <c r="Q45" s="979">
        <f>'Chi tiết'!S428</f>
        <v>41214.199999999997</v>
      </c>
      <c r="R45" s="979">
        <f>'Chi tiết'!T428</f>
        <v>109104</v>
      </c>
      <c r="S45" s="979">
        <f>'Chi tiết'!U428</f>
        <v>178678</v>
      </c>
      <c r="T45" s="979">
        <f>'Chi tiết'!V428</f>
        <v>152189</v>
      </c>
      <c r="U45" s="979">
        <f>'Chi tiết'!W428</f>
        <v>110300</v>
      </c>
      <c r="V45" s="979">
        <f>'Chi tiết'!X428</f>
        <v>57500</v>
      </c>
      <c r="W45" s="979">
        <f>'Chi tiết'!Y428</f>
        <v>59740</v>
      </c>
    </row>
    <row r="46" spans="1:23" ht="24">
      <c r="A46" s="1375">
        <v>13</v>
      </c>
      <c r="B46" s="1386" t="s">
        <v>582</v>
      </c>
      <c r="C46" s="1387" t="s">
        <v>256</v>
      </c>
      <c r="D46" s="1339">
        <f t="shared" si="1"/>
        <v>100000</v>
      </c>
      <c r="E46" s="1339">
        <f t="shared" si="5"/>
        <v>100000</v>
      </c>
      <c r="F46" s="979">
        <f>'Chi tiết'!H440</f>
        <v>0</v>
      </c>
      <c r="G46" s="979">
        <f>'Chi tiết'!I440</f>
        <v>0</v>
      </c>
      <c r="H46" s="979">
        <f>'Chi tiết'!J440</f>
        <v>0</v>
      </c>
      <c r="I46" s="979">
        <f>'Chi tiết'!K440</f>
        <v>100000</v>
      </c>
      <c r="J46" s="979">
        <f>'Chi tiết'!L440</f>
        <v>0</v>
      </c>
      <c r="K46" s="979">
        <f>'Chi tiết'!M440</f>
        <v>0</v>
      </c>
      <c r="L46" s="979">
        <f>'Chi tiết'!N440</f>
        <v>0</v>
      </c>
      <c r="M46" s="979">
        <f>'Chi tiết'!O440</f>
        <v>0</v>
      </c>
      <c r="N46" s="979">
        <f>'Chi tiết'!P440</f>
        <v>0</v>
      </c>
      <c r="O46" s="979">
        <f>'Chi tiết'!Q440</f>
        <v>0</v>
      </c>
      <c r="P46" s="979">
        <f>'Chi tiết'!R440</f>
        <v>0</v>
      </c>
      <c r="Q46" s="979">
        <f>'Chi tiết'!S440</f>
        <v>0</v>
      </c>
      <c r="R46" s="979">
        <f>'Chi tiết'!T440</f>
        <v>0</v>
      </c>
      <c r="S46" s="979">
        <f>'Chi tiết'!U440</f>
        <v>0</v>
      </c>
      <c r="T46" s="979">
        <f>'Chi tiết'!V440</f>
        <v>0</v>
      </c>
      <c r="U46" s="979">
        <f>'Chi tiết'!W440</f>
        <v>0</v>
      </c>
      <c r="V46" s="979">
        <f>'Chi tiết'!X440</f>
        <v>0</v>
      </c>
      <c r="W46" s="979">
        <f>'Chi tiết'!Y440</f>
        <v>0</v>
      </c>
    </row>
    <row r="47" spans="1:23">
      <c r="A47" s="1375">
        <v>14</v>
      </c>
      <c r="B47" s="1386" t="s">
        <v>582</v>
      </c>
      <c r="C47" s="1387" t="s">
        <v>239</v>
      </c>
      <c r="D47" s="1339">
        <f t="shared" si="1"/>
        <v>104920</v>
      </c>
      <c r="E47" s="1339">
        <f t="shared" si="5"/>
        <v>104920</v>
      </c>
      <c r="F47" s="979">
        <f>'Chi tiết'!H442</f>
        <v>0</v>
      </c>
      <c r="G47" s="979">
        <f>'Chi tiết'!I442</f>
        <v>0</v>
      </c>
      <c r="H47" s="979">
        <f>'Chi tiết'!J442</f>
        <v>0</v>
      </c>
      <c r="I47" s="979">
        <f>'Chi tiết'!K442</f>
        <v>104920</v>
      </c>
      <c r="J47" s="979">
        <f>'Chi tiết'!L442</f>
        <v>0</v>
      </c>
      <c r="K47" s="979">
        <f>'Chi tiết'!M442</f>
        <v>0</v>
      </c>
      <c r="L47" s="979">
        <f>'Chi tiết'!N442</f>
        <v>0</v>
      </c>
      <c r="M47" s="979">
        <f>'Chi tiết'!O442</f>
        <v>0</v>
      </c>
      <c r="N47" s="979">
        <f>'Chi tiết'!P442</f>
        <v>0</v>
      </c>
      <c r="O47" s="979">
        <f>'Chi tiết'!Q442</f>
        <v>0</v>
      </c>
      <c r="P47" s="979">
        <f>'Chi tiết'!R442</f>
        <v>0</v>
      </c>
      <c r="Q47" s="979">
        <f>'Chi tiết'!S442</f>
        <v>0</v>
      </c>
      <c r="R47" s="979">
        <f>'Chi tiết'!T442</f>
        <v>0</v>
      </c>
      <c r="S47" s="979">
        <f>'Chi tiết'!U442</f>
        <v>0</v>
      </c>
      <c r="T47" s="979">
        <f>'Chi tiết'!V442</f>
        <v>0</v>
      </c>
      <c r="U47" s="979">
        <f>'Chi tiết'!W442</f>
        <v>0</v>
      </c>
      <c r="V47" s="979">
        <f>'Chi tiết'!X442</f>
        <v>0</v>
      </c>
      <c r="W47" s="979">
        <f>'Chi tiết'!Y442</f>
        <v>0</v>
      </c>
    </row>
    <row r="48" spans="1:23" ht="36">
      <c r="A48" s="1376">
        <v>15</v>
      </c>
      <c r="B48" s="1381" t="s">
        <v>34</v>
      </c>
      <c r="C48" s="941" t="s">
        <v>32</v>
      </c>
      <c r="D48" s="1339">
        <f t="shared" si="1"/>
        <v>355850</v>
      </c>
      <c r="E48" s="1339">
        <f t="shared" si="5"/>
        <v>217000</v>
      </c>
      <c r="F48" s="979">
        <f>'Chi tiết'!H446</f>
        <v>217000</v>
      </c>
      <c r="G48" s="979">
        <f>'Chi tiết'!I446</f>
        <v>0</v>
      </c>
      <c r="H48" s="979">
        <f>'Chi tiết'!J446</f>
        <v>0</v>
      </c>
      <c r="I48" s="979">
        <f>'Chi tiết'!K446</f>
        <v>0</v>
      </c>
      <c r="J48" s="979">
        <f>'Chi tiết'!L446</f>
        <v>0</v>
      </c>
      <c r="K48" s="979">
        <f>'Chi tiết'!M446</f>
        <v>138850</v>
      </c>
      <c r="L48" s="979">
        <f>'Chi tiết'!N446</f>
        <v>11120</v>
      </c>
      <c r="M48" s="979">
        <f>'Chi tiết'!O446</f>
        <v>12000</v>
      </c>
      <c r="N48" s="979">
        <f>'Chi tiết'!P446</f>
        <v>25160</v>
      </c>
      <c r="O48" s="979">
        <f>'Chi tiết'!Q446</f>
        <v>19000</v>
      </c>
      <c r="P48" s="979">
        <f>'Chi tiết'!R446</f>
        <v>0</v>
      </c>
      <c r="Q48" s="979">
        <f>'Chi tiết'!S446</f>
        <v>1840</v>
      </c>
      <c r="R48" s="979">
        <f>'Chi tiết'!T446</f>
        <v>20520</v>
      </c>
      <c r="S48" s="979">
        <f>'Chi tiết'!U446</f>
        <v>1220</v>
      </c>
      <c r="T48" s="979">
        <f>'Chi tiết'!V446</f>
        <v>4390</v>
      </c>
      <c r="U48" s="979">
        <f>'Chi tiết'!W446</f>
        <v>26000</v>
      </c>
      <c r="V48" s="979">
        <f>'Chi tiết'!X446</f>
        <v>6440</v>
      </c>
      <c r="W48" s="979">
        <f>'Chi tiết'!Y446</f>
        <v>11160</v>
      </c>
    </row>
    <row r="49" spans="1:23">
      <c r="A49" s="1376">
        <v>16</v>
      </c>
      <c r="B49" s="1381" t="s">
        <v>34</v>
      </c>
      <c r="C49" s="941" t="s">
        <v>257</v>
      </c>
      <c r="D49" s="1339">
        <f t="shared" si="1"/>
        <v>430000</v>
      </c>
      <c r="E49" s="1339">
        <f t="shared" si="5"/>
        <v>430000</v>
      </c>
      <c r="F49" s="979">
        <f>'Chi tiết'!H458</f>
        <v>430000</v>
      </c>
      <c r="G49" s="979">
        <f>'Chi tiết'!I458</f>
        <v>0</v>
      </c>
      <c r="H49" s="979">
        <f>'Chi tiết'!J458</f>
        <v>0</v>
      </c>
      <c r="I49" s="979">
        <f>'Chi tiết'!K458</f>
        <v>0</v>
      </c>
      <c r="J49" s="979">
        <f>'Chi tiết'!L458</f>
        <v>0</v>
      </c>
      <c r="K49" s="979">
        <f>'Chi tiết'!M458</f>
        <v>0</v>
      </c>
      <c r="L49" s="979">
        <f>'Chi tiết'!N458</f>
        <v>0</v>
      </c>
      <c r="M49" s="979">
        <f>'Chi tiết'!O458</f>
        <v>0</v>
      </c>
      <c r="N49" s="979">
        <f>'Chi tiết'!P458</f>
        <v>0</v>
      </c>
      <c r="O49" s="979">
        <f>'Chi tiết'!Q458</f>
        <v>0</v>
      </c>
      <c r="P49" s="979">
        <f>'Chi tiết'!R458</f>
        <v>0</v>
      </c>
      <c r="Q49" s="979">
        <f>'Chi tiết'!S458</f>
        <v>0</v>
      </c>
      <c r="R49" s="979">
        <f>'Chi tiết'!T458</f>
        <v>0</v>
      </c>
      <c r="S49" s="979">
        <f>'Chi tiết'!U458</f>
        <v>0</v>
      </c>
      <c r="T49" s="979">
        <f>'Chi tiết'!V458</f>
        <v>0</v>
      </c>
      <c r="U49" s="979">
        <f>'Chi tiết'!W458</f>
        <v>0</v>
      </c>
      <c r="V49" s="979">
        <f>'Chi tiết'!X458</f>
        <v>0</v>
      </c>
      <c r="W49" s="979">
        <f>'Chi tiết'!Y458</f>
        <v>0</v>
      </c>
    </row>
    <row r="50" spans="1:23" ht="24">
      <c r="A50" s="1376">
        <v>17</v>
      </c>
      <c r="B50" s="1381" t="s">
        <v>34</v>
      </c>
      <c r="C50" s="941" t="s">
        <v>193</v>
      </c>
      <c r="D50" s="1339">
        <f t="shared" si="1"/>
        <v>349760</v>
      </c>
      <c r="E50" s="1339">
        <f t="shared" si="5"/>
        <v>160000</v>
      </c>
      <c r="F50" s="979">
        <f>'Chi tiết'!H465</f>
        <v>160000</v>
      </c>
      <c r="G50" s="979">
        <f>'Chi tiết'!I465</f>
        <v>0</v>
      </c>
      <c r="H50" s="979">
        <f>'Chi tiết'!J465</f>
        <v>0</v>
      </c>
      <c r="I50" s="979">
        <f>'Chi tiết'!K465</f>
        <v>0</v>
      </c>
      <c r="J50" s="979">
        <f>'Chi tiết'!L465</f>
        <v>0</v>
      </c>
      <c r="K50" s="979">
        <f>'Chi tiết'!M465</f>
        <v>189760</v>
      </c>
      <c r="L50" s="979">
        <f>'Chi tiết'!N465</f>
        <v>17180</v>
      </c>
      <c r="M50" s="979">
        <f>'Chi tiết'!O465</f>
        <v>17000</v>
      </c>
      <c r="N50" s="979">
        <f>'Chi tiết'!P465</f>
        <v>10394</v>
      </c>
      <c r="O50" s="979">
        <f>'Chi tiết'!Q465</f>
        <v>38400</v>
      </c>
      <c r="P50" s="979">
        <f>'Chi tiết'!R465</f>
        <v>15001</v>
      </c>
      <c r="Q50" s="979">
        <f>'Chi tiết'!S465</f>
        <v>14840</v>
      </c>
      <c r="R50" s="979">
        <f>'Chi tiết'!T465</f>
        <v>28960</v>
      </c>
      <c r="S50" s="979">
        <f>'Chi tiết'!U465</f>
        <v>11680</v>
      </c>
      <c r="T50" s="979">
        <f>'Chi tiết'!V465</f>
        <v>8115</v>
      </c>
      <c r="U50" s="979">
        <f>'Chi tiết'!W465</f>
        <v>12990</v>
      </c>
      <c r="V50" s="979">
        <f>'Chi tiết'!X465</f>
        <v>9260</v>
      </c>
      <c r="W50" s="979">
        <f>'Chi tiết'!Y465</f>
        <v>5940</v>
      </c>
    </row>
    <row r="51" spans="1:23">
      <c r="A51" s="1376">
        <v>18</v>
      </c>
      <c r="B51" s="1381" t="s">
        <v>34</v>
      </c>
      <c r="C51" s="858" t="s">
        <v>33</v>
      </c>
      <c r="D51" s="1339">
        <f t="shared" si="1"/>
        <v>750692</v>
      </c>
      <c r="E51" s="1339">
        <f t="shared" si="5"/>
        <v>250000</v>
      </c>
      <c r="F51" s="979">
        <f>'Chi tiết'!H476</f>
        <v>250000</v>
      </c>
      <c r="G51" s="979">
        <f>'Chi tiết'!I476</f>
        <v>0</v>
      </c>
      <c r="H51" s="979">
        <f>'Chi tiết'!J476</f>
        <v>0</v>
      </c>
      <c r="I51" s="979">
        <f>'Chi tiết'!K476</f>
        <v>0</v>
      </c>
      <c r="J51" s="979">
        <f>'Chi tiết'!L476</f>
        <v>0</v>
      </c>
      <c r="K51" s="979">
        <f>'Chi tiết'!M476</f>
        <v>500692</v>
      </c>
      <c r="L51" s="979">
        <f>'Chi tiết'!N476</f>
        <v>10800</v>
      </c>
      <c r="M51" s="979">
        <f>'Chi tiết'!O476</f>
        <v>47100</v>
      </c>
      <c r="N51" s="979">
        <f>'Chi tiết'!P476</f>
        <v>42090</v>
      </c>
      <c r="O51" s="979">
        <f>'Chi tiết'!Q476</f>
        <v>77290</v>
      </c>
      <c r="P51" s="979">
        <f>'Chi tiết'!R476</f>
        <v>57156</v>
      </c>
      <c r="Q51" s="979">
        <f>'Chi tiết'!S476</f>
        <v>10920</v>
      </c>
      <c r="R51" s="979">
        <f>'Chi tiết'!T476</f>
        <v>37660</v>
      </c>
      <c r="S51" s="979">
        <f>'Chi tiết'!U476</f>
        <v>32040</v>
      </c>
      <c r="T51" s="979">
        <f>'Chi tiết'!V476</f>
        <v>47166</v>
      </c>
      <c r="U51" s="979">
        <f>'Chi tiết'!W476</f>
        <v>38170</v>
      </c>
      <c r="V51" s="979">
        <f>'Chi tiết'!X476</f>
        <v>73050</v>
      </c>
      <c r="W51" s="979">
        <f>'Chi tiết'!Y476</f>
        <v>27250</v>
      </c>
    </row>
    <row r="52" spans="1:23">
      <c r="A52" s="1376">
        <v>19</v>
      </c>
      <c r="B52" s="1381"/>
      <c r="C52" s="858" t="s">
        <v>241</v>
      </c>
      <c r="D52" s="1339">
        <f t="shared" si="1"/>
        <v>3958187</v>
      </c>
      <c r="E52" s="1339">
        <f t="shared" si="5"/>
        <v>2456525</v>
      </c>
      <c r="F52" s="979">
        <f>'Chi tiết'!H487</f>
        <v>1533125</v>
      </c>
      <c r="G52" s="979">
        <f>'Chi tiết'!I487</f>
        <v>278900</v>
      </c>
      <c r="H52" s="979">
        <f>'Chi tiết'!J487</f>
        <v>574500</v>
      </c>
      <c r="I52" s="979">
        <f>'Chi tiết'!K487</f>
        <v>70000</v>
      </c>
      <c r="J52" s="979">
        <f>'Chi tiết'!L487</f>
        <v>0</v>
      </c>
      <c r="K52" s="979">
        <f>'Chi tiết'!M487</f>
        <v>1501662</v>
      </c>
      <c r="L52" s="979">
        <f>'Chi tiết'!N487</f>
        <v>285970</v>
      </c>
      <c r="M52" s="979">
        <f>'Chi tiết'!O487</f>
        <v>50400</v>
      </c>
      <c r="N52" s="979">
        <f>'Chi tiết'!P487</f>
        <v>105040</v>
      </c>
      <c r="O52" s="979">
        <f>'Chi tiết'!Q487</f>
        <v>23900</v>
      </c>
      <c r="P52" s="979">
        <f>'Chi tiết'!R487</f>
        <v>126974</v>
      </c>
      <c r="Q52" s="979">
        <f>'Chi tiết'!S487</f>
        <v>136148</v>
      </c>
      <c r="R52" s="979">
        <f>'Chi tiết'!T487</f>
        <v>72867</v>
      </c>
      <c r="S52" s="979">
        <f>'Chi tiết'!U487</f>
        <v>264998</v>
      </c>
      <c r="T52" s="979">
        <f>'Chi tiết'!V487</f>
        <v>165880</v>
      </c>
      <c r="U52" s="979">
        <f>'Chi tiết'!W487</f>
        <v>53755</v>
      </c>
      <c r="V52" s="979">
        <f>'Chi tiết'!X487</f>
        <v>65030</v>
      </c>
      <c r="W52" s="979">
        <f>'Chi tiết'!Y487</f>
        <v>150700</v>
      </c>
    </row>
    <row r="53" spans="1:23" ht="24">
      <c r="A53" s="1376" t="s">
        <v>268</v>
      </c>
      <c r="B53" s="1381" t="s">
        <v>34</v>
      </c>
      <c r="C53" s="858" t="s">
        <v>262</v>
      </c>
      <c r="D53" s="1339">
        <f t="shared" si="1"/>
        <v>2499352</v>
      </c>
      <c r="E53" s="1339">
        <f t="shared" si="5"/>
        <v>1533125</v>
      </c>
      <c r="F53" s="979">
        <f>'Chi tiết'!H488</f>
        <v>1533125</v>
      </c>
      <c r="G53" s="979">
        <f>'Chi tiết'!I488</f>
        <v>0</v>
      </c>
      <c r="H53" s="979">
        <f>'Chi tiết'!J488</f>
        <v>0</v>
      </c>
      <c r="I53" s="979">
        <f>'Chi tiết'!K488</f>
        <v>0</v>
      </c>
      <c r="J53" s="979">
        <f>'Chi tiết'!L488</f>
        <v>0</v>
      </c>
      <c r="K53" s="979">
        <f>'Chi tiết'!M488</f>
        <v>966227</v>
      </c>
      <c r="L53" s="979">
        <f>'Chi tiết'!N488</f>
        <v>102090</v>
      </c>
      <c r="M53" s="979">
        <f>'Chi tiết'!O488</f>
        <v>8000</v>
      </c>
      <c r="N53" s="979">
        <f>'Chi tiết'!P488</f>
        <v>93040</v>
      </c>
      <c r="O53" s="979">
        <f>'Chi tiết'!Q488</f>
        <v>12900</v>
      </c>
      <c r="P53" s="979">
        <f>'Chi tiết'!R488</f>
        <v>74894</v>
      </c>
      <c r="Q53" s="979">
        <f>'Chi tiết'!S488</f>
        <v>116948</v>
      </c>
      <c r="R53" s="979">
        <f>'Chi tiết'!T488</f>
        <v>28352</v>
      </c>
      <c r="S53" s="979">
        <f>'Chi tiết'!U488</f>
        <v>239278</v>
      </c>
      <c r="T53" s="979">
        <f>'Chi tiết'!V488</f>
        <v>123360</v>
      </c>
      <c r="U53" s="979">
        <f>'Chi tiết'!W488</f>
        <v>43755</v>
      </c>
      <c r="V53" s="979">
        <f>'Chi tiết'!X488</f>
        <v>33110</v>
      </c>
      <c r="W53" s="979">
        <f>'Chi tiết'!Y488</f>
        <v>90500</v>
      </c>
    </row>
    <row r="54" spans="1:23" ht="24">
      <c r="A54" s="1376" t="s">
        <v>269</v>
      </c>
      <c r="B54" s="1381" t="s">
        <v>1</v>
      </c>
      <c r="C54" s="858" t="s">
        <v>263</v>
      </c>
      <c r="D54" s="1339">
        <f t="shared" si="1"/>
        <v>628435</v>
      </c>
      <c r="E54" s="1339">
        <f t="shared" si="5"/>
        <v>278900</v>
      </c>
      <c r="F54" s="979">
        <f>'Chi tiết'!H504</f>
        <v>0</v>
      </c>
      <c r="G54" s="979">
        <f>'Chi tiết'!I504</f>
        <v>278900</v>
      </c>
      <c r="H54" s="979">
        <f>'Chi tiết'!J504</f>
        <v>0</v>
      </c>
      <c r="I54" s="979">
        <f>'Chi tiết'!K504</f>
        <v>0</v>
      </c>
      <c r="J54" s="979">
        <f>'Chi tiết'!L504</f>
        <v>0</v>
      </c>
      <c r="K54" s="979">
        <f>'Chi tiết'!M504</f>
        <v>349535</v>
      </c>
      <c r="L54" s="979">
        <f>'Chi tiết'!N504</f>
        <v>148500</v>
      </c>
      <c r="M54" s="979">
        <f>'Chi tiết'!O504</f>
        <v>34000</v>
      </c>
      <c r="N54" s="979">
        <f>'Chi tiết'!P504</f>
        <v>2000</v>
      </c>
      <c r="O54" s="979">
        <f>'Chi tiết'!Q504</f>
        <v>0</v>
      </c>
      <c r="P54" s="979">
        <f>'Chi tiết'!R504</f>
        <v>5880</v>
      </c>
      <c r="Q54" s="979">
        <f>'Chi tiết'!S504</f>
        <v>10000</v>
      </c>
      <c r="R54" s="979">
        <f>'Chi tiết'!T504</f>
        <v>32715</v>
      </c>
      <c r="S54" s="979">
        <f>'Chi tiết'!U504</f>
        <v>15520</v>
      </c>
      <c r="T54" s="979">
        <f>'Chi tiết'!V504</f>
        <v>31720</v>
      </c>
      <c r="U54" s="979">
        <f>'Chi tiết'!W504</f>
        <v>0</v>
      </c>
      <c r="V54" s="979">
        <f>'Chi tiết'!X504</f>
        <v>19200</v>
      </c>
      <c r="W54" s="979">
        <f>'Chi tiết'!Y504</f>
        <v>50000</v>
      </c>
    </row>
    <row r="55" spans="1:23" ht="24">
      <c r="A55" s="1376" t="s">
        <v>270</v>
      </c>
      <c r="B55" s="1381" t="s">
        <v>2</v>
      </c>
      <c r="C55" s="858" t="s">
        <v>264</v>
      </c>
      <c r="D55" s="1339">
        <f t="shared" si="1"/>
        <v>760400</v>
      </c>
      <c r="E55" s="1339">
        <f t="shared" si="5"/>
        <v>574500</v>
      </c>
      <c r="F55" s="979">
        <f>'Chi tiết'!H506</f>
        <v>0</v>
      </c>
      <c r="G55" s="979">
        <f>'Chi tiết'!I506</f>
        <v>0</v>
      </c>
      <c r="H55" s="979">
        <f>'Chi tiết'!J506</f>
        <v>574500</v>
      </c>
      <c r="I55" s="979">
        <f>'Chi tiết'!K506</f>
        <v>0</v>
      </c>
      <c r="J55" s="979">
        <f>'Chi tiết'!L506</f>
        <v>0</v>
      </c>
      <c r="K55" s="979">
        <f>'Chi tiết'!M506</f>
        <v>185900</v>
      </c>
      <c r="L55" s="979">
        <f>'Chi tiết'!N506</f>
        <v>35380</v>
      </c>
      <c r="M55" s="979">
        <f>'Chi tiết'!O506</f>
        <v>8400</v>
      </c>
      <c r="N55" s="979">
        <f>'Chi tiết'!P506</f>
        <v>10000</v>
      </c>
      <c r="O55" s="979">
        <f>'Chi tiết'!Q506</f>
        <v>11000</v>
      </c>
      <c r="P55" s="979">
        <f>'Chi tiết'!R506</f>
        <v>46200</v>
      </c>
      <c r="Q55" s="979">
        <f>'Chi tiết'!S506</f>
        <v>9200</v>
      </c>
      <c r="R55" s="979">
        <f>'Chi tiết'!T506</f>
        <v>11800</v>
      </c>
      <c r="S55" s="979">
        <f>'Chi tiết'!U506</f>
        <v>10200</v>
      </c>
      <c r="T55" s="979">
        <f>'Chi tiết'!V506</f>
        <v>10800</v>
      </c>
      <c r="U55" s="979">
        <f>'Chi tiết'!W506</f>
        <v>10000</v>
      </c>
      <c r="V55" s="979">
        <f>'Chi tiết'!X506</f>
        <v>12720</v>
      </c>
      <c r="W55" s="979">
        <f>'Chi tiết'!Y506</f>
        <v>10200</v>
      </c>
    </row>
    <row r="56" spans="1:23" ht="60">
      <c r="A56" s="1388" t="s">
        <v>271</v>
      </c>
      <c r="B56" s="1389" t="s">
        <v>582</v>
      </c>
      <c r="C56" s="1390" t="s">
        <v>280</v>
      </c>
      <c r="D56" s="1339">
        <f t="shared" si="1"/>
        <v>70000</v>
      </c>
      <c r="E56" s="1339">
        <f t="shared" si="5"/>
        <v>70000</v>
      </c>
      <c r="F56" s="983">
        <f>'Chi tiết'!H510</f>
        <v>0</v>
      </c>
      <c r="G56" s="983">
        <f>'Chi tiết'!I510</f>
        <v>0</v>
      </c>
      <c r="H56" s="983">
        <f>'Chi tiết'!J510</f>
        <v>0</v>
      </c>
      <c r="I56" s="983">
        <f>'Chi tiết'!K510</f>
        <v>70000</v>
      </c>
      <c r="J56" s="983">
        <f>'Chi tiết'!L510</f>
        <v>0</v>
      </c>
      <c r="K56" s="983">
        <f>'Chi tiết'!M510</f>
        <v>0</v>
      </c>
      <c r="L56" s="983">
        <f>'Chi tiết'!N510</f>
        <v>0</v>
      </c>
      <c r="M56" s="983">
        <f>'Chi tiết'!O510</f>
        <v>0</v>
      </c>
      <c r="N56" s="983">
        <f>'Chi tiết'!P510</f>
        <v>0</v>
      </c>
      <c r="O56" s="983">
        <f>'Chi tiết'!Q510</f>
        <v>0</v>
      </c>
      <c r="P56" s="983">
        <f>'Chi tiết'!R510</f>
        <v>0</v>
      </c>
      <c r="Q56" s="983">
        <f>'Chi tiết'!S510</f>
        <v>0</v>
      </c>
      <c r="R56" s="983">
        <f>'Chi tiết'!T510</f>
        <v>0</v>
      </c>
      <c r="S56" s="983">
        <f>'Chi tiết'!U510</f>
        <v>0</v>
      </c>
      <c r="T56" s="983">
        <f>'Chi tiết'!V510</f>
        <v>0</v>
      </c>
      <c r="U56" s="983">
        <f>'Chi tiết'!W510</f>
        <v>0</v>
      </c>
      <c r="V56" s="983">
        <f>'Chi tiết'!X510</f>
        <v>0</v>
      </c>
      <c r="W56" s="983">
        <f>'Chi tiết'!Y510</f>
        <v>0</v>
      </c>
    </row>
    <row r="57" spans="1:23" ht="24">
      <c r="A57" s="1375">
        <v>20</v>
      </c>
      <c r="B57" s="1389"/>
      <c r="C57" s="1374" t="s">
        <v>242</v>
      </c>
      <c r="D57" s="1339">
        <f t="shared" si="1"/>
        <v>2245467</v>
      </c>
      <c r="E57" s="1339">
        <f t="shared" si="5"/>
        <v>1511260</v>
      </c>
      <c r="F57" s="979">
        <f>'Chi tiết'!H513</f>
        <v>50000</v>
      </c>
      <c r="G57" s="979">
        <f>'Chi tiết'!I513</f>
        <v>1028240</v>
      </c>
      <c r="H57" s="979">
        <f>'Chi tiết'!J513</f>
        <v>92540</v>
      </c>
      <c r="I57" s="979">
        <f>'Chi tiết'!K513</f>
        <v>163280</v>
      </c>
      <c r="J57" s="979">
        <f>'Chi tiết'!L513</f>
        <v>177200</v>
      </c>
      <c r="K57" s="979">
        <f>'Chi tiết'!M513</f>
        <v>734207</v>
      </c>
      <c r="L57" s="979">
        <f>'Chi tiết'!N513</f>
        <v>190173</v>
      </c>
      <c r="M57" s="979">
        <f>'Chi tiết'!O513</f>
        <v>96440</v>
      </c>
      <c r="N57" s="979">
        <f>'Chi tiết'!P513</f>
        <v>8476</v>
      </c>
      <c r="O57" s="979">
        <f>'Chi tiết'!Q513</f>
        <v>62350</v>
      </c>
      <c r="P57" s="979">
        <f>'Chi tiết'!R513</f>
        <v>74690</v>
      </c>
      <c r="Q57" s="979">
        <f>'Chi tiết'!S513</f>
        <v>36560</v>
      </c>
      <c r="R57" s="979">
        <f>'Chi tiết'!T513</f>
        <v>23750</v>
      </c>
      <c r="S57" s="979">
        <f>'Chi tiết'!U513</f>
        <v>61710</v>
      </c>
      <c r="T57" s="979">
        <f>'Chi tiết'!V513</f>
        <v>31728</v>
      </c>
      <c r="U57" s="979">
        <f>'Chi tiết'!W513</f>
        <v>18250</v>
      </c>
      <c r="V57" s="979">
        <f>'Chi tiết'!X513</f>
        <v>34600</v>
      </c>
      <c r="W57" s="979">
        <f>'Chi tiết'!Y513</f>
        <v>95480</v>
      </c>
    </row>
    <row r="58" spans="1:23" ht="36">
      <c r="A58" s="1375" t="s">
        <v>281</v>
      </c>
      <c r="B58" s="1386" t="s">
        <v>34</v>
      </c>
      <c r="C58" s="858" t="s">
        <v>265</v>
      </c>
      <c r="D58" s="1339">
        <f t="shared" si="1"/>
        <v>91158</v>
      </c>
      <c r="E58" s="1339">
        <f t="shared" si="5"/>
        <v>50000</v>
      </c>
      <c r="F58" s="979">
        <f>'Chi tiết'!H514</f>
        <v>50000</v>
      </c>
      <c r="G58" s="979">
        <f>'Chi tiết'!I514</f>
        <v>0</v>
      </c>
      <c r="H58" s="979">
        <f>'Chi tiết'!J514</f>
        <v>0</v>
      </c>
      <c r="I58" s="979">
        <f>'Chi tiết'!K514</f>
        <v>0</v>
      </c>
      <c r="J58" s="979">
        <f>'Chi tiết'!L514</f>
        <v>0</v>
      </c>
      <c r="K58" s="979">
        <f>'Chi tiết'!M514</f>
        <v>41158</v>
      </c>
      <c r="L58" s="979">
        <f>'Chi tiết'!N514</f>
        <v>3840</v>
      </c>
      <c r="M58" s="979">
        <f>'Chi tiết'!O514</f>
        <v>0</v>
      </c>
      <c r="N58" s="979">
        <f>'Chi tiết'!P514</f>
        <v>1600</v>
      </c>
      <c r="O58" s="979">
        <f>'Chi tiết'!Q514</f>
        <v>2400</v>
      </c>
      <c r="P58" s="979">
        <f>'Chi tiết'!R514</f>
        <v>6736</v>
      </c>
      <c r="Q58" s="979">
        <f>'Chi tiết'!S514</f>
        <v>1280</v>
      </c>
      <c r="R58" s="979">
        <f>'Chi tiết'!T514</f>
        <v>1520</v>
      </c>
      <c r="S58" s="979">
        <f>'Chi tiết'!U514</f>
        <v>0</v>
      </c>
      <c r="T58" s="979">
        <f>'Chi tiết'!V514</f>
        <v>10392</v>
      </c>
      <c r="U58" s="979">
        <f>'Chi tiết'!W514</f>
        <v>8000</v>
      </c>
      <c r="V58" s="979">
        <f>'Chi tiết'!X514</f>
        <v>0</v>
      </c>
      <c r="W58" s="979">
        <f>'Chi tiết'!Y514</f>
        <v>5390</v>
      </c>
    </row>
    <row r="59" spans="1:23" ht="36">
      <c r="A59" s="1377" t="s">
        <v>282</v>
      </c>
      <c r="B59" s="1380" t="s">
        <v>1</v>
      </c>
      <c r="C59" s="858" t="s">
        <v>266</v>
      </c>
      <c r="D59" s="1339">
        <f t="shared" si="1"/>
        <v>1538731</v>
      </c>
      <c r="E59" s="1339">
        <f t="shared" si="5"/>
        <v>1028240</v>
      </c>
      <c r="F59" s="979">
        <f>'Chi tiết'!H516</f>
        <v>0</v>
      </c>
      <c r="G59" s="979">
        <f>'Chi tiết'!I516</f>
        <v>1028240</v>
      </c>
      <c r="H59" s="979">
        <f>'Chi tiết'!J516</f>
        <v>0</v>
      </c>
      <c r="I59" s="979">
        <f>'Chi tiết'!K516</f>
        <v>0</v>
      </c>
      <c r="J59" s="979">
        <f>'Chi tiết'!L516</f>
        <v>0</v>
      </c>
      <c r="K59" s="979">
        <f>'Chi tiết'!M516</f>
        <v>510491</v>
      </c>
      <c r="L59" s="979">
        <f>'Chi tiết'!N516</f>
        <v>173853</v>
      </c>
      <c r="M59" s="979">
        <f>'Chi tiết'!O516</f>
        <v>92000</v>
      </c>
      <c r="N59" s="979">
        <f>'Chi tiết'!P516</f>
        <v>0</v>
      </c>
      <c r="O59" s="979">
        <f>'Chi tiết'!Q516</f>
        <v>22320</v>
      </c>
      <c r="P59" s="979">
        <f>'Chi tiết'!R516</f>
        <v>49358</v>
      </c>
      <c r="Q59" s="979">
        <f>'Chi tiết'!S516</f>
        <v>20000</v>
      </c>
      <c r="R59" s="979">
        <f>'Chi tiết'!T516</f>
        <v>3040</v>
      </c>
      <c r="S59" s="979">
        <f>'Chi tiết'!U516</f>
        <v>47400</v>
      </c>
      <c r="T59" s="979">
        <f>'Chi tiết'!V516</f>
        <v>0</v>
      </c>
      <c r="U59" s="979">
        <f>'Chi tiết'!W516</f>
        <v>0</v>
      </c>
      <c r="V59" s="979">
        <f>'Chi tiết'!X516</f>
        <v>27520</v>
      </c>
      <c r="W59" s="979">
        <f>'Chi tiết'!Y516</f>
        <v>75000</v>
      </c>
    </row>
    <row r="60" spans="1:23" ht="36">
      <c r="A60" s="1391" t="s">
        <v>283</v>
      </c>
      <c r="B60" s="1392" t="s">
        <v>2</v>
      </c>
      <c r="C60" s="1390" t="s">
        <v>267</v>
      </c>
      <c r="D60" s="1339">
        <f t="shared" si="1"/>
        <v>452298</v>
      </c>
      <c r="E60" s="1339">
        <f t="shared" si="5"/>
        <v>269740</v>
      </c>
      <c r="F60" s="983">
        <f>'Chi tiết'!H522</f>
        <v>0</v>
      </c>
      <c r="G60" s="983">
        <f>'Chi tiết'!I522</f>
        <v>0</v>
      </c>
      <c r="H60" s="983">
        <f>'Chi tiết'!J522</f>
        <v>92540</v>
      </c>
      <c r="I60" s="983">
        <f>'Chi tiết'!K522</f>
        <v>0</v>
      </c>
      <c r="J60" s="983">
        <f>'Chi tiết'!L522</f>
        <v>177200</v>
      </c>
      <c r="K60" s="983">
        <f>'Chi tiết'!M522</f>
        <v>182558</v>
      </c>
      <c r="L60" s="983">
        <f>'Chi tiết'!N522</f>
        <v>12480</v>
      </c>
      <c r="M60" s="983">
        <f>'Chi tiết'!O522</f>
        <v>4440</v>
      </c>
      <c r="N60" s="983">
        <f>'Chi tiết'!P522</f>
        <v>6876</v>
      </c>
      <c r="O60" s="983">
        <f>'Chi tiết'!Q522</f>
        <v>37630</v>
      </c>
      <c r="P60" s="983">
        <f>'Chi tiết'!R522</f>
        <v>18596</v>
      </c>
      <c r="Q60" s="983">
        <f>'Chi tiết'!S522</f>
        <v>15280</v>
      </c>
      <c r="R60" s="983">
        <f>'Chi tiết'!T522</f>
        <v>19190</v>
      </c>
      <c r="S60" s="983">
        <f>'Chi tiết'!U522</f>
        <v>14310</v>
      </c>
      <c r="T60" s="983">
        <f>'Chi tiết'!V522</f>
        <v>21336</v>
      </c>
      <c r="U60" s="983">
        <f>'Chi tiết'!W522</f>
        <v>10250</v>
      </c>
      <c r="V60" s="983">
        <f>'Chi tiết'!X522</f>
        <v>7080</v>
      </c>
      <c r="W60" s="983">
        <f>'Chi tiết'!Y522</f>
        <v>15090</v>
      </c>
    </row>
    <row r="61" spans="1:23" ht="60">
      <c r="A61" s="1391" t="s">
        <v>284</v>
      </c>
      <c r="B61" s="1392" t="s">
        <v>582</v>
      </c>
      <c r="C61" s="1390" t="s">
        <v>279</v>
      </c>
      <c r="D61" s="1339">
        <f t="shared" si="1"/>
        <v>163280</v>
      </c>
      <c r="E61" s="1339">
        <f t="shared" si="5"/>
        <v>163280</v>
      </c>
      <c r="F61" s="983">
        <f>'Chi tiết'!H525</f>
        <v>0</v>
      </c>
      <c r="G61" s="983">
        <f>'Chi tiết'!I525</f>
        <v>0</v>
      </c>
      <c r="H61" s="983">
        <f>'Chi tiết'!J525</f>
        <v>0</v>
      </c>
      <c r="I61" s="983">
        <f>'Chi tiết'!K525</f>
        <v>163280</v>
      </c>
      <c r="J61" s="983">
        <f>'Chi tiết'!L525</f>
        <v>0</v>
      </c>
      <c r="K61" s="983">
        <f>'Chi tiết'!M525</f>
        <v>0</v>
      </c>
      <c r="L61" s="983">
        <f>'Chi tiết'!N525</f>
        <v>0</v>
      </c>
      <c r="M61" s="983">
        <f>'Chi tiết'!O525</f>
        <v>0</v>
      </c>
      <c r="N61" s="983">
        <f>'Chi tiết'!P525</f>
        <v>0</v>
      </c>
      <c r="O61" s="983">
        <f>'Chi tiết'!Q525</f>
        <v>0</v>
      </c>
      <c r="P61" s="983">
        <f>'Chi tiết'!R525</f>
        <v>0</v>
      </c>
      <c r="Q61" s="983">
        <f>'Chi tiết'!S525</f>
        <v>0</v>
      </c>
      <c r="R61" s="983">
        <f>'Chi tiết'!T525</f>
        <v>0</v>
      </c>
      <c r="S61" s="983">
        <f>'Chi tiết'!U525</f>
        <v>0</v>
      </c>
      <c r="T61" s="983">
        <f>'Chi tiết'!V525</f>
        <v>0</v>
      </c>
      <c r="U61" s="983">
        <f>'Chi tiết'!W525</f>
        <v>0</v>
      </c>
      <c r="V61" s="983">
        <f>'Chi tiết'!X525</f>
        <v>0</v>
      </c>
      <c r="W61" s="983">
        <f>'Chi tiết'!Y525</f>
        <v>0</v>
      </c>
    </row>
    <row r="62" spans="1:23" s="1424" customFormat="1" ht="39" customHeight="1">
      <c r="A62" s="1425" t="s">
        <v>816</v>
      </c>
      <c r="B62" s="1906" t="s">
        <v>848</v>
      </c>
      <c r="C62" s="1906"/>
      <c r="D62" s="1428">
        <f t="shared" si="1"/>
        <v>464363</v>
      </c>
      <c r="E62" s="1428">
        <f t="shared" si="5"/>
        <v>464363</v>
      </c>
      <c r="F62" s="1429">
        <v>464363</v>
      </c>
      <c r="G62" s="1425"/>
      <c r="H62" s="1425"/>
      <c r="I62" s="1425"/>
      <c r="J62" s="1425"/>
      <c r="K62" s="1425"/>
      <c r="L62" s="1425"/>
      <c r="M62" s="1425"/>
      <c r="N62" s="1425"/>
      <c r="O62" s="1425"/>
      <c r="P62" s="1425"/>
      <c r="Q62" s="1425"/>
      <c r="R62" s="1425"/>
      <c r="S62" s="1425"/>
      <c r="T62" s="1425"/>
      <c r="U62" s="1425"/>
      <c r="V62" s="1425"/>
      <c r="W62" s="1425"/>
    </row>
  </sheetData>
  <mergeCells count="8">
    <mergeCell ref="B62:C62"/>
    <mergeCell ref="A1:W2"/>
    <mergeCell ref="A4:A7"/>
    <mergeCell ref="B4:B7"/>
    <mergeCell ref="C4:C7"/>
    <mergeCell ref="D4:D7"/>
    <mergeCell ref="E4:J5"/>
    <mergeCell ref="K4:W5"/>
  </mergeCells>
  <pageMargins left="0.70866141732283472" right="0.70866141732283472" top="0.74803149606299213" bottom="0.74803149606299213" header="0.31496062992125984" footer="0.31496062992125984"/>
  <pageSetup paperSize="9" scale="5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22"/>
  <sheetViews>
    <sheetView workbookViewId="0">
      <selection activeCell="G2" sqref="G2:G4"/>
    </sheetView>
  </sheetViews>
  <sheetFormatPr defaultRowHeight="15"/>
  <cols>
    <col min="3" max="3" width="33" customWidth="1"/>
    <col min="5" max="5" width="33.7109375" customWidth="1"/>
    <col min="6" max="6" width="14.28515625" bestFit="1" customWidth="1"/>
    <col min="7" max="7" width="18" bestFit="1" customWidth="1"/>
    <col min="9" max="9" width="16.85546875" bestFit="1" customWidth="1"/>
  </cols>
  <sheetData>
    <row r="2" spans="3:9">
      <c r="E2" t="s">
        <v>1019</v>
      </c>
      <c r="F2">
        <v>733372</v>
      </c>
      <c r="G2" s="1478">
        <f>F2*1000</f>
        <v>733372000</v>
      </c>
    </row>
    <row r="3" spans="3:9">
      <c r="E3" t="s">
        <v>1020</v>
      </c>
      <c r="F3">
        <v>733372</v>
      </c>
      <c r="G3" s="1478">
        <f t="shared" ref="G3:G4" si="0">F3*1000</f>
        <v>733372000</v>
      </c>
    </row>
    <row r="4" spans="3:9">
      <c r="C4" t="s">
        <v>861</v>
      </c>
      <c r="E4" t="s">
        <v>886</v>
      </c>
      <c r="F4">
        <v>733372</v>
      </c>
      <c r="G4" s="1478">
        <f t="shared" si="0"/>
        <v>733372000</v>
      </c>
    </row>
    <row r="5" spans="3:9">
      <c r="E5" t="s">
        <v>821</v>
      </c>
      <c r="F5" s="1478">
        <v>10476820</v>
      </c>
      <c r="G5" s="1478">
        <f>F5*1000</f>
        <v>10476820000</v>
      </c>
    </row>
    <row r="6" spans="3:9">
      <c r="E6" t="s">
        <v>822</v>
      </c>
      <c r="F6" s="1478">
        <v>2665000</v>
      </c>
      <c r="G6" s="1478">
        <f t="shared" ref="G6:G21" si="1">F6*1000</f>
        <v>2665000000</v>
      </c>
    </row>
    <row r="7" spans="3:9">
      <c r="E7" t="s">
        <v>823</v>
      </c>
      <c r="F7" s="1478">
        <v>6895702</v>
      </c>
      <c r="G7" s="1478">
        <f t="shared" si="1"/>
        <v>6895702000</v>
      </c>
    </row>
    <row r="8" spans="3:9">
      <c r="E8" t="s">
        <v>824</v>
      </c>
      <c r="F8" s="1478">
        <v>1084640</v>
      </c>
      <c r="G8" s="1478">
        <f t="shared" si="1"/>
        <v>1084640000</v>
      </c>
    </row>
    <row r="9" spans="3:9">
      <c r="E9" t="s">
        <v>825</v>
      </c>
      <c r="F9" s="1478">
        <v>374099</v>
      </c>
      <c r="G9" s="1478">
        <f t="shared" si="1"/>
        <v>374099000</v>
      </c>
    </row>
    <row r="10" spans="3:9">
      <c r="E10" t="s">
        <v>727</v>
      </c>
      <c r="F10" s="1478">
        <v>5235254.5999999996</v>
      </c>
      <c r="G10" s="1478">
        <f t="shared" si="1"/>
        <v>5235254600</v>
      </c>
    </row>
    <row r="11" spans="3:9">
      <c r="E11" t="s">
        <v>728</v>
      </c>
      <c r="F11" s="1478">
        <v>2678344.6039999998</v>
      </c>
      <c r="G11" s="1478">
        <f t="shared" si="1"/>
        <v>2678344604</v>
      </c>
    </row>
    <row r="12" spans="3:9">
      <c r="E12" t="s">
        <v>729</v>
      </c>
      <c r="F12" s="1478">
        <v>3264119.3</v>
      </c>
      <c r="G12" s="1478">
        <f t="shared" si="1"/>
        <v>3264119300</v>
      </c>
    </row>
    <row r="13" spans="3:9">
      <c r="E13" t="s">
        <v>730</v>
      </c>
      <c r="F13" s="1478">
        <v>5113573.5</v>
      </c>
      <c r="G13" s="1478">
        <f t="shared" si="1"/>
        <v>5113573500</v>
      </c>
    </row>
    <row r="14" spans="3:9">
      <c r="E14" t="s">
        <v>731</v>
      </c>
      <c r="F14" s="1478">
        <v>4301011</v>
      </c>
      <c r="G14" s="1478">
        <f t="shared" si="1"/>
        <v>4301011000</v>
      </c>
    </row>
    <row r="15" spans="3:9">
      <c r="E15" t="s">
        <v>732</v>
      </c>
      <c r="F15" s="1478">
        <v>2907285.2</v>
      </c>
      <c r="G15" s="1478">
        <f t="shared" si="1"/>
        <v>2907285200</v>
      </c>
      <c r="I15" s="1478">
        <v>1466744000</v>
      </c>
    </row>
    <row r="16" spans="3:9">
      <c r="E16" t="s">
        <v>733</v>
      </c>
      <c r="F16" s="1478">
        <v>4703585.8459999999</v>
      </c>
      <c r="G16" s="1478">
        <f t="shared" si="1"/>
        <v>4703585846</v>
      </c>
      <c r="I16" s="1478">
        <f>I15*3*0.5</f>
        <v>2200116000</v>
      </c>
    </row>
    <row r="17" spans="5:7">
      <c r="E17" t="s">
        <v>734</v>
      </c>
      <c r="F17" s="1478">
        <v>3301997.8</v>
      </c>
      <c r="G17" s="1478">
        <f t="shared" si="1"/>
        <v>3301997800</v>
      </c>
    </row>
    <row r="18" spans="5:7">
      <c r="E18" t="s">
        <v>735</v>
      </c>
      <c r="F18" s="1478">
        <v>4118727.54</v>
      </c>
      <c r="G18" s="1478">
        <f t="shared" si="1"/>
        <v>4118727540</v>
      </c>
    </row>
    <row r="19" spans="5:7">
      <c r="E19" t="s">
        <v>736</v>
      </c>
      <c r="F19" s="1478">
        <v>2908957</v>
      </c>
      <c r="G19" s="1478">
        <f t="shared" si="1"/>
        <v>2908957000</v>
      </c>
    </row>
    <row r="20" spans="5:7">
      <c r="E20" t="s">
        <v>737</v>
      </c>
      <c r="F20" s="1478">
        <v>2994269</v>
      </c>
      <c r="G20" s="1478">
        <f t="shared" si="1"/>
        <v>2994269000</v>
      </c>
    </row>
    <row r="21" spans="5:7">
      <c r="E21" t="s">
        <v>738</v>
      </c>
      <c r="F21" s="1478">
        <v>2823508</v>
      </c>
      <c r="G21" s="1478">
        <f t="shared" si="1"/>
        <v>2823508000</v>
      </c>
    </row>
    <row r="22" spans="5:7">
      <c r="G22" s="1618">
        <f>SUM(G5:G21)</f>
        <v>65846894390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defaultRowHeight="15"/>
  <sheetData>
    <row r="1" spans="1:1">
      <c r="A1" t="s">
        <v>1025</v>
      </c>
    </row>
    <row r="2" spans="1:1">
      <c r="A2" t="s">
        <v>1026</v>
      </c>
    </row>
    <row r="3" spans="1:1" ht="18.75">
      <c r="A3" s="1634" t="s">
        <v>1027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F543"/>
  <sheetViews>
    <sheetView topLeftCell="A427" zoomScale="124" zoomScaleNormal="124" workbookViewId="0">
      <selection activeCell="D386" sqref="D386"/>
    </sheetView>
  </sheetViews>
  <sheetFormatPr defaultColWidth="9" defaultRowHeight="12" outlineLevelCol="1"/>
  <cols>
    <col min="1" max="1" width="9" style="11"/>
    <col min="2" max="2" width="4.5703125" style="36" bestFit="1" customWidth="1"/>
    <col min="3" max="3" width="6.5703125" style="36" customWidth="1"/>
    <col min="4" max="4" width="19" style="37" customWidth="1"/>
    <col min="5" max="5" width="10.5703125" style="796" customWidth="1"/>
    <col min="6" max="6" width="11.7109375" style="796" bestFit="1" customWidth="1"/>
    <col min="7" max="7" width="10.7109375" style="796" customWidth="1" outlineLevel="1"/>
    <col min="8" max="8" width="10.42578125" style="797" customWidth="1" outlineLevel="1"/>
    <col min="9" max="9" width="9" style="797" customWidth="1" outlineLevel="1"/>
    <col min="10" max="10" width="10.42578125" style="797" customWidth="1" outlineLevel="1"/>
    <col min="11" max="11" width="10.85546875" style="797" customWidth="1" outlineLevel="1"/>
    <col min="12" max="12" width="12.28515625" style="796" bestFit="1" customWidth="1"/>
    <col min="13" max="13" width="12.140625" style="796" bestFit="1" customWidth="1" outlineLevel="1"/>
    <col min="14" max="15" width="10.85546875" style="796" bestFit="1" customWidth="1" outlineLevel="1"/>
    <col min="16" max="17" width="11.7109375" style="796" bestFit="1" customWidth="1" outlineLevel="1"/>
    <col min="18" max="18" width="8" style="796" customWidth="1" outlineLevel="1"/>
    <col min="19" max="19" width="11.7109375" style="796" bestFit="1" customWidth="1" outlineLevel="1"/>
    <col min="20" max="21" width="10.85546875" style="796" bestFit="1" customWidth="1" outlineLevel="1"/>
    <col min="22" max="22" width="11.7109375" style="796" bestFit="1" customWidth="1" outlineLevel="1"/>
    <col min="23" max="23" width="10.42578125" style="796" customWidth="1" outlineLevel="1"/>
    <col min="24" max="24" width="11.7109375" style="796" bestFit="1" customWidth="1" outlineLevel="1"/>
    <col min="25" max="179" width="9.85546875" style="11" customWidth="1"/>
    <col min="180" max="221" width="9" style="11"/>
    <col min="222" max="222" width="5" style="11" customWidth="1"/>
    <col min="223" max="223" width="34.42578125" style="11" customWidth="1"/>
    <col min="224" max="224" width="10.7109375" style="11" customWidth="1"/>
    <col min="225" max="225" width="9.28515625" style="11" customWidth="1"/>
    <col min="226" max="226" width="10.42578125" style="11" customWidth="1"/>
    <col min="227" max="232" width="9.28515625" style="11" customWidth="1"/>
    <col min="233" max="233" width="8.28515625" style="11" customWidth="1"/>
    <col min="234" max="241" width="9.28515625" style="11" customWidth="1"/>
    <col min="242" max="435" width="9.85546875" style="11" customWidth="1"/>
    <col min="436" max="477" width="9" style="11"/>
    <col min="478" max="478" width="5" style="11" customWidth="1"/>
    <col min="479" max="479" width="34.42578125" style="11" customWidth="1"/>
    <col min="480" max="480" width="10.7109375" style="11" customWidth="1"/>
    <col min="481" max="481" width="9.28515625" style="11" customWidth="1"/>
    <col min="482" max="482" width="10.42578125" style="11" customWidth="1"/>
    <col min="483" max="488" width="9.28515625" style="11" customWidth="1"/>
    <col min="489" max="489" width="8.28515625" style="11" customWidth="1"/>
    <col min="490" max="497" width="9.28515625" style="11" customWidth="1"/>
    <col min="498" max="691" width="9.85546875" style="11" customWidth="1"/>
    <col min="692" max="733" width="9" style="11"/>
    <col min="734" max="734" width="5" style="11" customWidth="1"/>
    <col min="735" max="735" width="34.42578125" style="11" customWidth="1"/>
    <col min="736" max="736" width="10.7109375" style="11" customWidth="1"/>
    <col min="737" max="737" width="9.28515625" style="11" customWidth="1"/>
    <col min="738" max="738" width="10.42578125" style="11" customWidth="1"/>
    <col min="739" max="744" width="9.28515625" style="11" customWidth="1"/>
    <col min="745" max="745" width="8.28515625" style="11" customWidth="1"/>
    <col min="746" max="753" width="9.28515625" style="11" customWidth="1"/>
    <col min="754" max="947" width="9.85546875" style="11" customWidth="1"/>
    <col min="948" max="989" width="9" style="11"/>
    <col min="990" max="990" width="5" style="11" customWidth="1"/>
    <col min="991" max="991" width="34.42578125" style="11" customWidth="1"/>
    <col min="992" max="992" width="10.7109375" style="11" customWidth="1"/>
    <col min="993" max="993" width="9.28515625" style="11" customWidth="1"/>
    <col min="994" max="994" width="10.42578125" style="11" customWidth="1"/>
    <col min="995" max="1000" width="9.28515625" style="11" customWidth="1"/>
    <col min="1001" max="1001" width="8.28515625" style="11" customWidth="1"/>
    <col min="1002" max="1009" width="9.28515625" style="11" customWidth="1"/>
    <col min="1010" max="1203" width="9.85546875" style="11" customWidth="1"/>
    <col min="1204" max="1245" width="9" style="11"/>
    <col min="1246" max="1246" width="5" style="11" customWidth="1"/>
    <col min="1247" max="1247" width="34.42578125" style="11" customWidth="1"/>
    <col min="1248" max="1248" width="10.7109375" style="11" customWidth="1"/>
    <col min="1249" max="1249" width="9.28515625" style="11" customWidth="1"/>
    <col min="1250" max="1250" width="10.42578125" style="11" customWidth="1"/>
    <col min="1251" max="1256" width="9.28515625" style="11" customWidth="1"/>
    <col min="1257" max="1257" width="8.28515625" style="11" customWidth="1"/>
    <col min="1258" max="1265" width="9.28515625" style="11" customWidth="1"/>
    <col min="1266" max="1459" width="9.85546875" style="11" customWidth="1"/>
    <col min="1460" max="1501" width="9" style="11"/>
    <col min="1502" max="1502" width="5" style="11" customWidth="1"/>
    <col min="1503" max="1503" width="34.42578125" style="11" customWidth="1"/>
    <col min="1504" max="1504" width="10.7109375" style="11" customWidth="1"/>
    <col min="1505" max="1505" width="9.28515625" style="11" customWidth="1"/>
    <col min="1506" max="1506" width="10.42578125" style="11" customWidth="1"/>
    <col min="1507" max="1512" width="9.28515625" style="11" customWidth="1"/>
    <col min="1513" max="1513" width="8.28515625" style="11" customWidth="1"/>
    <col min="1514" max="1521" width="9.28515625" style="11" customWidth="1"/>
    <col min="1522" max="1715" width="9.85546875" style="11" customWidth="1"/>
    <col min="1716" max="1757" width="9" style="11"/>
    <col min="1758" max="1758" width="5" style="11" customWidth="1"/>
    <col min="1759" max="1759" width="34.42578125" style="11" customWidth="1"/>
    <col min="1760" max="1760" width="10.7109375" style="11" customWidth="1"/>
    <col min="1761" max="1761" width="9.28515625" style="11" customWidth="1"/>
    <col min="1762" max="1762" width="10.42578125" style="11" customWidth="1"/>
    <col min="1763" max="1768" width="9.28515625" style="11" customWidth="1"/>
    <col min="1769" max="1769" width="8.28515625" style="11" customWidth="1"/>
    <col min="1770" max="1777" width="9.28515625" style="11" customWidth="1"/>
    <col min="1778" max="1971" width="9.85546875" style="11" customWidth="1"/>
    <col min="1972" max="2013" width="9" style="11"/>
    <col min="2014" max="2014" width="5" style="11" customWidth="1"/>
    <col min="2015" max="2015" width="34.42578125" style="11" customWidth="1"/>
    <col min="2016" max="2016" width="10.7109375" style="11" customWidth="1"/>
    <col min="2017" max="2017" width="9.28515625" style="11" customWidth="1"/>
    <col min="2018" max="2018" width="10.42578125" style="11" customWidth="1"/>
    <col min="2019" max="2024" width="9.28515625" style="11" customWidth="1"/>
    <col min="2025" max="2025" width="8.28515625" style="11" customWidth="1"/>
    <col min="2026" max="2033" width="9.28515625" style="11" customWidth="1"/>
    <col min="2034" max="2227" width="9.85546875" style="11" customWidth="1"/>
    <col min="2228" max="2269" width="9" style="11"/>
    <col min="2270" max="2270" width="5" style="11" customWidth="1"/>
    <col min="2271" max="2271" width="34.42578125" style="11" customWidth="1"/>
    <col min="2272" max="2272" width="10.7109375" style="11" customWidth="1"/>
    <col min="2273" max="2273" width="9.28515625" style="11" customWidth="1"/>
    <col min="2274" max="2274" width="10.42578125" style="11" customWidth="1"/>
    <col min="2275" max="2280" width="9.28515625" style="11" customWidth="1"/>
    <col min="2281" max="2281" width="8.28515625" style="11" customWidth="1"/>
    <col min="2282" max="2289" width="9.28515625" style="11" customWidth="1"/>
    <col min="2290" max="2483" width="9.85546875" style="11" customWidth="1"/>
    <col min="2484" max="2525" width="9" style="11"/>
    <col min="2526" max="2526" width="5" style="11" customWidth="1"/>
    <col min="2527" max="2527" width="34.42578125" style="11" customWidth="1"/>
    <col min="2528" max="2528" width="10.7109375" style="11" customWidth="1"/>
    <col min="2529" max="2529" width="9.28515625" style="11" customWidth="1"/>
    <col min="2530" max="2530" width="10.42578125" style="11" customWidth="1"/>
    <col min="2531" max="2536" width="9.28515625" style="11" customWidth="1"/>
    <col min="2537" max="2537" width="8.28515625" style="11" customWidth="1"/>
    <col min="2538" max="2545" width="9.28515625" style="11" customWidth="1"/>
    <col min="2546" max="2739" width="9.85546875" style="11" customWidth="1"/>
    <col min="2740" max="2781" width="9" style="11"/>
    <col min="2782" max="2782" width="5" style="11" customWidth="1"/>
    <col min="2783" max="2783" width="34.42578125" style="11" customWidth="1"/>
    <col min="2784" max="2784" width="10.7109375" style="11" customWidth="1"/>
    <col min="2785" max="2785" width="9.28515625" style="11" customWidth="1"/>
    <col min="2786" max="2786" width="10.42578125" style="11" customWidth="1"/>
    <col min="2787" max="2792" width="9.28515625" style="11" customWidth="1"/>
    <col min="2793" max="2793" width="8.28515625" style="11" customWidth="1"/>
    <col min="2794" max="2801" width="9.28515625" style="11" customWidth="1"/>
    <col min="2802" max="2995" width="9.85546875" style="11" customWidth="1"/>
    <col min="2996" max="3037" width="9" style="11"/>
    <col min="3038" max="3038" width="5" style="11" customWidth="1"/>
    <col min="3039" max="3039" width="34.42578125" style="11" customWidth="1"/>
    <col min="3040" max="3040" width="10.7109375" style="11" customWidth="1"/>
    <col min="3041" max="3041" width="9.28515625" style="11" customWidth="1"/>
    <col min="3042" max="3042" width="10.42578125" style="11" customWidth="1"/>
    <col min="3043" max="3048" width="9.28515625" style="11" customWidth="1"/>
    <col min="3049" max="3049" width="8.28515625" style="11" customWidth="1"/>
    <col min="3050" max="3057" width="9.28515625" style="11" customWidth="1"/>
    <col min="3058" max="3251" width="9.85546875" style="11" customWidth="1"/>
    <col min="3252" max="3293" width="9" style="11"/>
    <col min="3294" max="3294" width="5" style="11" customWidth="1"/>
    <col min="3295" max="3295" width="34.42578125" style="11" customWidth="1"/>
    <col min="3296" max="3296" width="10.7109375" style="11" customWidth="1"/>
    <col min="3297" max="3297" width="9.28515625" style="11" customWidth="1"/>
    <col min="3298" max="3298" width="10.42578125" style="11" customWidth="1"/>
    <col min="3299" max="3304" width="9.28515625" style="11" customWidth="1"/>
    <col min="3305" max="3305" width="8.28515625" style="11" customWidth="1"/>
    <col min="3306" max="3313" width="9.28515625" style="11" customWidth="1"/>
    <col min="3314" max="3507" width="9.85546875" style="11" customWidth="1"/>
    <col min="3508" max="3549" width="9" style="11"/>
    <col min="3550" max="3550" width="5" style="11" customWidth="1"/>
    <col min="3551" max="3551" width="34.42578125" style="11" customWidth="1"/>
    <col min="3552" max="3552" width="10.7109375" style="11" customWidth="1"/>
    <col min="3553" max="3553" width="9.28515625" style="11" customWidth="1"/>
    <col min="3554" max="3554" width="10.42578125" style="11" customWidth="1"/>
    <col min="3555" max="3560" width="9.28515625" style="11" customWidth="1"/>
    <col min="3561" max="3561" width="8.28515625" style="11" customWidth="1"/>
    <col min="3562" max="3569" width="9.28515625" style="11" customWidth="1"/>
    <col min="3570" max="3763" width="9.85546875" style="11" customWidth="1"/>
    <col min="3764" max="3805" width="9" style="11"/>
    <col min="3806" max="3806" width="5" style="11" customWidth="1"/>
    <col min="3807" max="3807" width="34.42578125" style="11" customWidth="1"/>
    <col min="3808" max="3808" width="10.7109375" style="11" customWidth="1"/>
    <col min="3809" max="3809" width="9.28515625" style="11" customWidth="1"/>
    <col min="3810" max="3810" width="10.42578125" style="11" customWidth="1"/>
    <col min="3811" max="3816" width="9.28515625" style="11" customWidth="1"/>
    <col min="3817" max="3817" width="8.28515625" style="11" customWidth="1"/>
    <col min="3818" max="3825" width="9.28515625" style="11" customWidth="1"/>
    <col min="3826" max="4019" width="9.85546875" style="11" customWidth="1"/>
    <col min="4020" max="4061" width="9" style="11"/>
    <col min="4062" max="4062" width="5" style="11" customWidth="1"/>
    <col min="4063" max="4063" width="34.42578125" style="11" customWidth="1"/>
    <col min="4064" max="4064" width="10.7109375" style="11" customWidth="1"/>
    <col min="4065" max="4065" width="9.28515625" style="11" customWidth="1"/>
    <col min="4066" max="4066" width="10.42578125" style="11" customWidth="1"/>
    <col min="4067" max="4072" width="9.28515625" style="11" customWidth="1"/>
    <col min="4073" max="4073" width="8.28515625" style="11" customWidth="1"/>
    <col min="4074" max="4081" width="9.28515625" style="11" customWidth="1"/>
    <col min="4082" max="4275" width="9.85546875" style="11" customWidth="1"/>
    <col min="4276" max="4317" width="9" style="11"/>
    <col min="4318" max="4318" width="5" style="11" customWidth="1"/>
    <col min="4319" max="4319" width="34.42578125" style="11" customWidth="1"/>
    <col min="4320" max="4320" width="10.7109375" style="11" customWidth="1"/>
    <col min="4321" max="4321" width="9.28515625" style="11" customWidth="1"/>
    <col min="4322" max="4322" width="10.42578125" style="11" customWidth="1"/>
    <col min="4323" max="4328" width="9.28515625" style="11" customWidth="1"/>
    <col min="4329" max="4329" width="8.28515625" style="11" customWidth="1"/>
    <col min="4330" max="4337" width="9.28515625" style="11" customWidth="1"/>
    <col min="4338" max="4531" width="9.85546875" style="11" customWidth="1"/>
    <col min="4532" max="4573" width="9" style="11"/>
    <col min="4574" max="4574" width="5" style="11" customWidth="1"/>
    <col min="4575" max="4575" width="34.42578125" style="11" customWidth="1"/>
    <col min="4576" max="4576" width="10.7109375" style="11" customWidth="1"/>
    <col min="4577" max="4577" width="9.28515625" style="11" customWidth="1"/>
    <col min="4578" max="4578" width="10.42578125" style="11" customWidth="1"/>
    <col min="4579" max="4584" width="9.28515625" style="11" customWidth="1"/>
    <col min="4585" max="4585" width="8.28515625" style="11" customWidth="1"/>
    <col min="4586" max="4593" width="9.28515625" style="11" customWidth="1"/>
    <col min="4594" max="4787" width="9.85546875" style="11" customWidth="1"/>
    <col min="4788" max="4829" width="9" style="11"/>
    <col min="4830" max="4830" width="5" style="11" customWidth="1"/>
    <col min="4831" max="4831" width="34.42578125" style="11" customWidth="1"/>
    <col min="4832" max="4832" width="10.7109375" style="11" customWidth="1"/>
    <col min="4833" max="4833" width="9.28515625" style="11" customWidth="1"/>
    <col min="4834" max="4834" width="10.42578125" style="11" customWidth="1"/>
    <col min="4835" max="4840" width="9.28515625" style="11" customWidth="1"/>
    <col min="4841" max="4841" width="8.28515625" style="11" customWidth="1"/>
    <col min="4842" max="4849" width="9.28515625" style="11" customWidth="1"/>
    <col min="4850" max="5043" width="9.85546875" style="11" customWidth="1"/>
    <col min="5044" max="5085" width="9" style="11"/>
    <col min="5086" max="5086" width="5" style="11" customWidth="1"/>
    <col min="5087" max="5087" width="34.42578125" style="11" customWidth="1"/>
    <col min="5088" max="5088" width="10.7109375" style="11" customWidth="1"/>
    <col min="5089" max="5089" width="9.28515625" style="11" customWidth="1"/>
    <col min="5090" max="5090" width="10.42578125" style="11" customWidth="1"/>
    <col min="5091" max="5096" width="9.28515625" style="11" customWidth="1"/>
    <col min="5097" max="5097" width="8.28515625" style="11" customWidth="1"/>
    <col min="5098" max="5105" width="9.28515625" style="11" customWidth="1"/>
    <col min="5106" max="5299" width="9.85546875" style="11" customWidth="1"/>
    <col min="5300" max="5341" width="9" style="11"/>
    <col min="5342" max="5342" width="5" style="11" customWidth="1"/>
    <col min="5343" max="5343" width="34.42578125" style="11" customWidth="1"/>
    <col min="5344" max="5344" width="10.7109375" style="11" customWidth="1"/>
    <col min="5345" max="5345" width="9.28515625" style="11" customWidth="1"/>
    <col min="5346" max="5346" width="10.42578125" style="11" customWidth="1"/>
    <col min="5347" max="5352" width="9.28515625" style="11" customWidth="1"/>
    <col min="5353" max="5353" width="8.28515625" style="11" customWidth="1"/>
    <col min="5354" max="5361" width="9.28515625" style="11" customWidth="1"/>
    <col min="5362" max="5555" width="9.85546875" style="11" customWidth="1"/>
    <col min="5556" max="5597" width="9" style="11"/>
    <col min="5598" max="5598" width="5" style="11" customWidth="1"/>
    <col min="5599" max="5599" width="34.42578125" style="11" customWidth="1"/>
    <col min="5600" max="5600" width="10.7109375" style="11" customWidth="1"/>
    <col min="5601" max="5601" width="9.28515625" style="11" customWidth="1"/>
    <col min="5602" max="5602" width="10.42578125" style="11" customWidth="1"/>
    <col min="5603" max="5608" width="9.28515625" style="11" customWidth="1"/>
    <col min="5609" max="5609" width="8.28515625" style="11" customWidth="1"/>
    <col min="5610" max="5617" width="9.28515625" style="11" customWidth="1"/>
    <col min="5618" max="5811" width="9.85546875" style="11" customWidth="1"/>
    <col min="5812" max="5853" width="9" style="11"/>
    <col min="5854" max="5854" width="5" style="11" customWidth="1"/>
    <col min="5855" max="5855" width="34.42578125" style="11" customWidth="1"/>
    <col min="5856" max="5856" width="10.7109375" style="11" customWidth="1"/>
    <col min="5857" max="5857" width="9.28515625" style="11" customWidth="1"/>
    <col min="5858" max="5858" width="10.42578125" style="11" customWidth="1"/>
    <col min="5859" max="5864" width="9.28515625" style="11" customWidth="1"/>
    <col min="5865" max="5865" width="8.28515625" style="11" customWidth="1"/>
    <col min="5866" max="5873" width="9.28515625" style="11" customWidth="1"/>
    <col min="5874" max="6067" width="9.85546875" style="11" customWidth="1"/>
    <col min="6068" max="6109" width="9" style="11"/>
    <col min="6110" max="6110" width="5" style="11" customWidth="1"/>
    <col min="6111" max="6111" width="34.42578125" style="11" customWidth="1"/>
    <col min="6112" max="6112" width="10.7109375" style="11" customWidth="1"/>
    <col min="6113" max="6113" width="9.28515625" style="11" customWidth="1"/>
    <col min="6114" max="6114" width="10.42578125" style="11" customWidth="1"/>
    <col min="6115" max="6120" width="9.28515625" style="11" customWidth="1"/>
    <col min="6121" max="6121" width="8.28515625" style="11" customWidth="1"/>
    <col min="6122" max="6129" width="9.28515625" style="11" customWidth="1"/>
    <col min="6130" max="6323" width="9.85546875" style="11" customWidth="1"/>
    <col min="6324" max="6365" width="9" style="11"/>
    <col min="6366" max="6366" width="5" style="11" customWidth="1"/>
    <col min="6367" max="6367" width="34.42578125" style="11" customWidth="1"/>
    <col min="6368" max="6368" width="10.7109375" style="11" customWidth="1"/>
    <col min="6369" max="6369" width="9.28515625" style="11" customWidth="1"/>
    <col min="6370" max="6370" width="10.42578125" style="11" customWidth="1"/>
    <col min="6371" max="6376" width="9.28515625" style="11" customWidth="1"/>
    <col min="6377" max="6377" width="8.28515625" style="11" customWidth="1"/>
    <col min="6378" max="6385" width="9.28515625" style="11" customWidth="1"/>
    <col min="6386" max="6579" width="9.85546875" style="11" customWidth="1"/>
    <col min="6580" max="6621" width="9" style="11"/>
    <col min="6622" max="6622" width="5" style="11" customWidth="1"/>
    <col min="6623" max="6623" width="34.42578125" style="11" customWidth="1"/>
    <col min="6624" max="6624" width="10.7109375" style="11" customWidth="1"/>
    <col min="6625" max="6625" width="9.28515625" style="11" customWidth="1"/>
    <col min="6626" max="6626" width="10.42578125" style="11" customWidth="1"/>
    <col min="6627" max="6632" width="9.28515625" style="11" customWidth="1"/>
    <col min="6633" max="6633" width="8.28515625" style="11" customWidth="1"/>
    <col min="6634" max="6641" width="9.28515625" style="11" customWidth="1"/>
    <col min="6642" max="6835" width="9.85546875" style="11" customWidth="1"/>
    <col min="6836" max="6877" width="9" style="11"/>
    <col min="6878" max="6878" width="5" style="11" customWidth="1"/>
    <col min="6879" max="6879" width="34.42578125" style="11" customWidth="1"/>
    <col min="6880" max="6880" width="10.7109375" style="11" customWidth="1"/>
    <col min="6881" max="6881" width="9.28515625" style="11" customWidth="1"/>
    <col min="6882" max="6882" width="10.42578125" style="11" customWidth="1"/>
    <col min="6883" max="6888" width="9.28515625" style="11" customWidth="1"/>
    <col min="6889" max="6889" width="8.28515625" style="11" customWidth="1"/>
    <col min="6890" max="6897" width="9.28515625" style="11" customWidth="1"/>
    <col min="6898" max="7091" width="9.85546875" style="11" customWidth="1"/>
    <col min="7092" max="7133" width="9" style="11"/>
    <col min="7134" max="7134" width="5" style="11" customWidth="1"/>
    <col min="7135" max="7135" width="34.42578125" style="11" customWidth="1"/>
    <col min="7136" max="7136" width="10.7109375" style="11" customWidth="1"/>
    <col min="7137" max="7137" width="9.28515625" style="11" customWidth="1"/>
    <col min="7138" max="7138" width="10.42578125" style="11" customWidth="1"/>
    <col min="7139" max="7144" width="9.28515625" style="11" customWidth="1"/>
    <col min="7145" max="7145" width="8.28515625" style="11" customWidth="1"/>
    <col min="7146" max="7153" width="9.28515625" style="11" customWidth="1"/>
    <col min="7154" max="7347" width="9.85546875" style="11" customWidth="1"/>
    <col min="7348" max="7389" width="9" style="11"/>
    <col min="7390" max="7390" width="5" style="11" customWidth="1"/>
    <col min="7391" max="7391" width="34.42578125" style="11" customWidth="1"/>
    <col min="7392" max="7392" width="10.7109375" style="11" customWidth="1"/>
    <col min="7393" max="7393" width="9.28515625" style="11" customWidth="1"/>
    <col min="7394" max="7394" width="10.42578125" style="11" customWidth="1"/>
    <col min="7395" max="7400" width="9.28515625" style="11" customWidth="1"/>
    <col min="7401" max="7401" width="8.28515625" style="11" customWidth="1"/>
    <col min="7402" max="7409" width="9.28515625" style="11" customWidth="1"/>
    <col min="7410" max="7603" width="9.85546875" style="11" customWidth="1"/>
    <col min="7604" max="7645" width="9" style="11"/>
    <col min="7646" max="7646" width="5" style="11" customWidth="1"/>
    <col min="7647" max="7647" width="34.42578125" style="11" customWidth="1"/>
    <col min="7648" max="7648" width="10.7109375" style="11" customWidth="1"/>
    <col min="7649" max="7649" width="9.28515625" style="11" customWidth="1"/>
    <col min="7650" max="7650" width="10.42578125" style="11" customWidth="1"/>
    <col min="7651" max="7656" width="9.28515625" style="11" customWidth="1"/>
    <col min="7657" max="7657" width="8.28515625" style="11" customWidth="1"/>
    <col min="7658" max="7665" width="9.28515625" style="11" customWidth="1"/>
    <col min="7666" max="7859" width="9.85546875" style="11" customWidth="1"/>
    <col min="7860" max="7901" width="9" style="11"/>
    <col min="7902" max="7902" width="5" style="11" customWidth="1"/>
    <col min="7903" max="7903" width="34.42578125" style="11" customWidth="1"/>
    <col min="7904" max="7904" width="10.7109375" style="11" customWidth="1"/>
    <col min="7905" max="7905" width="9.28515625" style="11" customWidth="1"/>
    <col min="7906" max="7906" width="10.42578125" style="11" customWidth="1"/>
    <col min="7907" max="7912" width="9.28515625" style="11" customWidth="1"/>
    <col min="7913" max="7913" width="8.28515625" style="11" customWidth="1"/>
    <col min="7914" max="7921" width="9.28515625" style="11" customWidth="1"/>
    <col min="7922" max="8115" width="9.85546875" style="11" customWidth="1"/>
    <col min="8116" max="8157" width="9" style="11"/>
    <col min="8158" max="8158" width="5" style="11" customWidth="1"/>
    <col min="8159" max="8159" width="34.42578125" style="11" customWidth="1"/>
    <col min="8160" max="8160" width="10.7109375" style="11" customWidth="1"/>
    <col min="8161" max="8161" width="9.28515625" style="11" customWidth="1"/>
    <col min="8162" max="8162" width="10.42578125" style="11" customWidth="1"/>
    <col min="8163" max="8168" width="9.28515625" style="11" customWidth="1"/>
    <col min="8169" max="8169" width="8.28515625" style="11" customWidth="1"/>
    <col min="8170" max="8177" width="9.28515625" style="11" customWidth="1"/>
    <col min="8178" max="8371" width="9.85546875" style="11" customWidth="1"/>
    <col min="8372" max="8413" width="9" style="11"/>
    <col min="8414" max="8414" width="5" style="11" customWidth="1"/>
    <col min="8415" max="8415" width="34.42578125" style="11" customWidth="1"/>
    <col min="8416" max="8416" width="10.7109375" style="11" customWidth="1"/>
    <col min="8417" max="8417" width="9.28515625" style="11" customWidth="1"/>
    <col min="8418" max="8418" width="10.42578125" style="11" customWidth="1"/>
    <col min="8419" max="8424" width="9.28515625" style="11" customWidth="1"/>
    <col min="8425" max="8425" width="8.28515625" style="11" customWidth="1"/>
    <col min="8426" max="8433" width="9.28515625" style="11" customWidth="1"/>
    <col min="8434" max="8627" width="9.85546875" style="11" customWidth="1"/>
    <col min="8628" max="8669" width="9" style="11"/>
    <col min="8670" max="8670" width="5" style="11" customWidth="1"/>
    <col min="8671" max="8671" width="34.42578125" style="11" customWidth="1"/>
    <col min="8672" max="8672" width="10.7109375" style="11" customWidth="1"/>
    <col min="8673" max="8673" width="9.28515625" style="11" customWidth="1"/>
    <col min="8674" max="8674" width="10.42578125" style="11" customWidth="1"/>
    <col min="8675" max="8680" width="9.28515625" style="11" customWidth="1"/>
    <col min="8681" max="8681" width="8.28515625" style="11" customWidth="1"/>
    <col min="8682" max="8689" width="9.28515625" style="11" customWidth="1"/>
    <col min="8690" max="8883" width="9.85546875" style="11" customWidth="1"/>
    <col min="8884" max="8925" width="9" style="11"/>
    <col min="8926" max="8926" width="5" style="11" customWidth="1"/>
    <col min="8927" max="8927" width="34.42578125" style="11" customWidth="1"/>
    <col min="8928" max="8928" width="10.7109375" style="11" customWidth="1"/>
    <col min="8929" max="8929" width="9.28515625" style="11" customWidth="1"/>
    <col min="8930" max="8930" width="10.42578125" style="11" customWidth="1"/>
    <col min="8931" max="8936" width="9.28515625" style="11" customWidth="1"/>
    <col min="8937" max="8937" width="8.28515625" style="11" customWidth="1"/>
    <col min="8938" max="8945" width="9.28515625" style="11" customWidth="1"/>
    <col min="8946" max="9139" width="9.85546875" style="11" customWidth="1"/>
    <col min="9140" max="9181" width="9" style="11"/>
    <col min="9182" max="9182" width="5" style="11" customWidth="1"/>
    <col min="9183" max="9183" width="34.42578125" style="11" customWidth="1"/>
    <col min="9184" max="9184" width="10.7109375" style="11" customWidth="1"/>
    <col min="9185" max="9185" width="9.28515625" style="11" customWidth="1"/>
    <col min="9186" max="9186" width="10.42578125" style="11" customWidth="1"/>
    <col min="9187" max="9192" width="9.28515625" style="11" customWidth="1"/>
    <col min="9193" max="9193" width="8.28515625" style="11" customWidth="1"/>
    <col min="9194" max="9201" width="9.28515625" style="11" customWidth="1"/>
    <col min="9202" max="9395" width="9.85546875" style="11" customWidth="1"/>
    <col min="9396" max="9437" width="9" style="11"/>
    <col min="9438" max="9438" width="5" style="11" customWidth="1"/>
    <col min="9439" max="9439" width="34.42578125" style="11" customWidth="1"/>
    <col min="9440" max="9440" width="10.7109375" style="11" customWidth="1"/>
    <col min="9441" max="9441" width="9.28515625" style="11" customWidth="1"/>
    <col min="9442" max="9442" width="10.42578125" style="11" customWidth="1"/>
    <col min="9443" max="9448" width="9.28515625" style="11" customWidth="1"/>
    <col min="9449" max="9449" width="8.28515625" style="11" customWidth="1"/>
    <col min="9450" max="9457" width="9.28515625" style="11" customWidth="1"/>
    <col min="9458" max="9651" width="9.85546875" style="11" customWidth="1"/>
    <col min="9652" max="9693" width="9" style="11"/>
    <col min="9694" max="9694" width="5" style="11" customWidth="1"/>
    <col min="9695" max="9695" width="34.42578125" style="11" customWidth="1"/>
    <col min="9696" max="9696" width="10.7109375" style="11" customWidth="1"/>
    <col min="9697" max="9697" width="9.28515625" style="11" customWidth="1"/>
    <col min="9698" max="9698" width="10.42578125" style="11" customWidth="1"/>
    <col min="9699" max="9704" width="9.28515625" style="11" customWidth="1"/>
    <col min="9705" max="9705" width="8.28515625" style="11" customWidth="1"/>
    <col min="9706" max="9713" width="9.28515625" style="11" customWidth="1"/>
    <col min="9714" max="9907" width="9.85546875" style="11" customWidth="1"/>
    <col min="9908" max="9949" width="9" style="11"/>
    <col min="9950" max="9950" width="5" style="11" customWidth="1"/>
    <col min="9951" max="9951" width="34.42578125" style="11" customWidth="1"/>
    <col min="9952" max="9952" width="10.7109375" style="11" customWidth="1"/>
    <col min="9953" max="9953" width="9.28515625" style="11" customWidth="1"/>
    <col min="9954" max="9954" width="10.42578125" style="11" customWidth="1"/>
    <col min="9955" max="9960" width="9.28515625" style="11" customWidth="1"/>
    <col min="9961" max="9961" width="8.28515625" style="11" customWidth="1"/>
    <col min="9962" max="9969" width="9.28515625" style="11" customWidth="1"/>
    <col min="9970" max="10163" width="9.85546875" style="11" customWidth="1"/>
    <col min="10164" max="10205" width="9" style="11"/>
    <col min="10206" max="10206" width="5" style="11" customWidth="1"/>
    <col min="10207" max="10207" width="34.42578125" style="11" customWidth="1"/>
    <col min="10208" max="10208" width="10.7109375" style="11" customWidth="1"/>
    <col min="10209" max="10209" width="9.28515625" style="11" customWidth="1"/>
    <col min="10210" max="10210" width="10.42578125" style="11" customWidth="1"/>
    <col min="10211" max="10216" width="9.28515625" style="11" customWidth="1"/>
    <col min="10217" max="10217" width="8.28515625" style="11" customWidth="1"/>
    <col min="10218" max="10225" width="9.28515625" style="11" customWidth="1"/>
    <col min="10226" max="10419" width="9.85546875" style="11" customWidth="1"/>
    <col min="10420" max="10461" width="9" style="11"/>
    <col min="10462" max="10462" width="5" style="11" customWidth="1"/>
    <col min="10463" max="10463" width="34.42578125" style="11" customWidth="1"/>
    <col min="10464" max="10464" width="10.7109375" style="11" customWidth="1"/>
    <col min="10465" max="10465" width="9.28515625" style="11" customWidth="1"/>
    <col min="10466" max="10466" width="10.42578125" style="11" customWidth="1"/>
    <col min="10467" max="10472" width="9.28515625" style="11" customWidth="1"/>
    <col min="10473" max="10473" width="8.28515625" style="11" customWidth="1"/>
    <col min="10474" max="10481" width="9.28515625" style="11" customWidth="1"/>
    <col min="10482" max="10675" width="9.85546875" style="11" customWidth="1"/>
    <col min="10676" max="10717" width="9" style="11"/>
    <col min="10718" max="10718" width="5" style="11" customWidth="1"/>
    <col min="10719" max="10719" width="34.42578125" style="11" customWidth="1"/>
    <col min="10720" max="10720" width="10.7109375" style="11" customWidth="1"/>
    <col min="10721" max="10721" width="9.28515625" style="11" customWidth="1"/>
    <col min="10722" max="10722" width="10.42578125" style="11" customWidth="1"/>
    <col min="10723" max="10728" width="9.28515625" style="11" customWidth="1"/>
    <col min="10729" max="10729" width="8.28515625" style="11" customWidth="1"/>
    <col min="10730" max="10737" width="9.28515625" style="11" customWidth="1"/>
    <col min="10738" max="10931" width="9.85546875" style="11" customWidth="1"/>
    <col min="10932" max="10973" width="9" style="11"/>
    <col min="10974" max="10974" width="5" style="11" customWidth="1"/>
    <col min="10975" max="10975" width="34.42578125" style="11" customWidth="1"/>
    <col min="10976" max="10976" width="10.7109375" style="11" customWidth="1"/>
    <col min="10977" max="10977" width="9.28515625" style="11" customWidth="1"/>
    <col min="10978" max="10978" width="10.42578125" style="11" customWidth="1"/>
    <col min="10979" max="10984" width="9.28515625" style="11" customWidth="1"/>
    <col min="10985" max="10985" width="8.28515625" style="11" customWidth="1"/>
    <col min="10986" max="10993" width="9.28515625" style="11" customWidth="1"/>
    <col min="10994" max="11187" width="9.85546875" style="11" customWidth="1"/>
    <col min="11188" max="11229" width="9" style="11"/>
    <col min="11230" max="11230" width="5" style="11" customWidth="1"/>
    <col min="11231" max="11231" width="34.42578125" style="11" customWidth="1"/>
    <col min="11232" max="11232" width="10.7109375" style="11" customWidth="1"/>
    <col min="11233" max="11233" width="9.28515625" style="11" customWidth="1"/>
    <col min="11234" max="11234" width="10.42578125" style="11" customWidth="1"/>
    <col min="11235" max="11240" width="9.28515625" style="11" customWidth="1"/>
    <col min="11241" max="11241" width="8.28515625" style="11" customWidth="1"/>
    <col min="11242" max="11249" width="9.28515625" style="11" customWidth="1"/>
    <col min="11250" max="11443" width="9.85546875" style="11" customWidth="1"/>
    <col min="11444" max="11485" width="9" style="11"/>
    <col min="11486" max="11486" width="5" style="11" customWidth="1"/>
    <col min="11487" max="11487" width="34.42578125" style="11" customWidth="1"/>
    <col min="11488" max="11488" width="10.7109375" style="11" customWidth="1"/>
    <col min="11489" max="11489" width="9.28515625" style="11" customWidth="1"/>
    <col min="11490" max="11490" width="10.42578125" style="11" customWidth="1"/>
    <col min="11491" max="11496" width="9.28515625" style="11" customWidth="1"/>
    <col min="11497" max="11497" width="8.28515625" style="11" customWidth="1"/>
    <col min="11498" max="11505" width="9.28515625" style="11" customWidth="1"/>
    <col min="11506" max="11699" width="9.85546875" style="11" customWidth="1"/>
    <col min="11700" max="11741" width="9" style="11"/>
    <col min="11742" max="11742" width="5" style="11" customWidth="1"/>
    <col min="11743" max="11743" width="34.42578125" style="11" customWidth="1"/>
    <col min="11744" max="11744" width="10.7109375" style="11" customWidth="1"/>
    <col min="11745" max="11745" width="9.28515625" style="11" customWidth="1"/>
    <col min="11746" max="11746" width="10.42578125" style="11" customWidth="1"/>
    <col min="11747" max="11752" width="9.28515625" style="11" customWidth="1"/>
    <col min="11753" max="11753" width="8.28515625" style="11" customWidth="1"/>
    <col min="11754" max="11761" width="9.28515625" style="11" customWidth="1"/>
    <col min="11762" max="11955" width="9.85546875" style="11" customWidth="1"/>
    <col min="11956" max="11997" width="9" style="11"/>
    <col min="11998" max="11998" width="5" style="11" customWidth="1"/>
    <col min="11999" max="11999" width="34.42578125" style="11" customWidth="1"/>
    <col min="12000" max="12000" width="10.7109375" style="11" customWidth="1"/>
    <col min="12001" max="12001" width="9.28515625" style="11" customWidth="1"/>
    <col min="12002" max="12002" width="10.42578125" style="11" customWidth="1"/>
    <col min="12003" max="12008" width="9.28515625" style="11" customWidth="1"/>
    <col min="12009" max="12009" width="8.28515625" style="11" customWidth="1"/>
    <col min="12010" max="12017" width="9.28515625" style="11" customWidth="1"/>
    <col min="12018" max="12211" width="9.85546875" style="11" customWidth="1"/>
    <col min="12212" max="12253" width="9" style="11"/>
    <col min="12254" max="12254" width="5" style="11" customWidth="1"/>
    <col min="12255" max="12255" width="34.42578125" style="11" customWidth="1"/>
    <col min="12256" max="12256" width="10.7109375" style="11" customWidth="1"/>
    <col min="12257" max="12257" width="9.28515625" style="11" customWidth="1"/>
    <col min="12258" max="12258" width="10.42578125" style="11" customWidth="1"/>
    <col min="12259" max="12264" width="9.28515625" style="11" customWidth="1"/>
    <col min="12265" max="12265" width="8.28515625" style="11" customWidth="1"/>
    <col min="12266" max="12273" width="9.28515625" style="11" customWidth="1"/>
    <col min="12274" max="12467" width="9.85546875" style="11" customWidth="1"/>
    <col min="12468" max="12509" width="9" style="11"/>
    <col min="12510" max="12510" width="5" style="11" customWidth="1"/>
    <col min="12511" max="12511" width="34.42578125" style="11" customWidth="1"/>
    <col min="12512" max="12512" width="10.7109375" style="11" customWidth="1"/>
    <col min="12513" max="12513" width="9.28515625" style="11" customWidth="1"/>
    <col min="12514" max="12514" width="10.42578125" style="11" customWidth="1"/>
    <col min="12515" max="12520" width="9.28515625" style="11" customWidth="1"/>
    <col min="12521" max="12521" width="8.28515625" style="11" customWidth="1"/>
    <col min="12522" max="12529" width="9.28515625" style="11" customWidth="1"/>
    <col min="12530" max="12723" width="9.85546875" style="11" customWidth="1"/>
    <col min="12724" max="12765" width="9" style="11"/>
    <col min="12766" max="12766" width="5" style="11" customWidth="1"/>
    <col min="12767" max="12767" width="34.42578125" style="11" customWidth="1"/>
    <col min="12768" max="12768" width="10.7109375" style="11" customWidth="1"/>
    <col min="12769" max="12769" width="9.28515625" style="11" customWidth="1"/>
    <col min="12770" max="12770" width="10.42578125" style="11" customWidth="1"/>
    <col min="12771" max="12776" width="9.28515625" style="11" customWidth="1"/>
    <col min="12777" max="12777" width="8.28515625" style="11" customWidth="1"/>
    <col min="12778" max="12785" width="9.28515625" style="11" customWidth="1"/>
    <col min="12786" max="12979" width="9.85546875" style="11" customWidth="1"/>
    <col min="12980" max="13021" width="9" style="11"/>
    <col min="13022" max="13022" width="5" style="11" customWidth="1"/>
    <col min="13023" max="13023" width="34.42578125" style="11" customWidth="1"/>
    <col min="13024" max="13024" width="10.7109375" style="11" customWidth="1"/>
    <col min="13025" max="13025" width="9.28515625" style="11" customWidth="1"/>
    <col min="13026" max="13026" width="10.42578125" style="11" customWidth="1"/>
    <col min="13027" max="13032" width="9.28515625" style="11" customWidth="1"/>
    <col min="13033" max="13033" width="8.28515625" style="11" customWidth="1"/>
    <col min="13034" max="13041" width="9.28515625" style="11" customWidth="1"/>
    <col min="13042" max="13235" width="9.85546875" style="11" customWidth="1"/>
    <col min="13236" max="13277" width="9" style="11"/>
    <col min="13278" max="13278" width="5" style="11" customWidth="1"/>
    <col min="13279" max="13279" width="34.42578125" style="11" customWidth="1"/>
    <col min="13280" max="13280" width="10.7109375" style="11" customWidth="1"/>
    <col min="13281" max="13281" width="9.28515625" style="11" customWidth="1"/>
    <col min="13282" max="13282" width="10.42578125" style="11" customWidth="1"/>
    <col min="13283" max="13288" width="9.28515625" style="11" customWidth="1"/>
    <col min="13289" max="13289" width="8.28515625" style="11" customWidth="1"/>
    <col min="13290" max="13297" width="9.28515625" style="11" customWidth="1"/>
    <col min="13298" max="13491" width="9.85546875" style="11" customWidth="1"/>
    <col min="13492" max="13533" width="9" style="11"/>
    <col min="13534" max="13534" width="5" style="11" customWidth="1"/>
    <col min="13535" max="13535" width="34.42578125" style="11" customWidth="1"/>
    <col min="13536" max="13536" width="10.7109375" style="11" customWidth="1"/>
    <col min="13537" max="13537" width="9.28515625" style="11" customWidth="1"/>
    <col min="13538" max="13538" width="10.42578125" style="11" customWidth="1"/>
    <col min="13539" max="13544" width="9.28515625" style="11" customWidth="1"/>
    <col min="13545" max="13545" width="8.28515625" style="11" customWidth="1"/>
    <col min="13546" max="13553" width="9.28515625" style="11" customWidth="1"/>
    <col min="13554" max="13747" width="9.85546875" style="11" customWidth="1"/>
    <col min="13748" max="13789" width="9" style="11"/>
    <col min="13790" max="13790" width="5" style="11" customWidth="1"/>
    <col min="13791" max="13791" width="34.42578125" style="11" customWidth="1"/>
    <col min="13792" max="13792" width="10.7109375" style="11" customWidth="1"/>
    <col min="13793" max="13793" width="9.28515625" style="11" customWidth="1"/>
    <col min="13794" max="13794" width="10.42578125" style="11" customWidth="1"/>
    <col min="13795" max="13800" width="9.28515625" style="11" customWidth="1"/>
    <col min="13801" max="13801" width="8.28515625" style="11" customWidth="1"/>
    <col min="13802" max="13809" width="9.28515625" style="11" customWidth="1"/>
    <col min="13810" max="14003" width="9.85546875" style="11" customWidth="1"/>
    <col min="14004" max="14045" width="9" style="11"/>
    <col min="14046" max="14046" width="5" style="11" customWidth="1"/>
    <col min="14047" max="14047" width="34.42578125" style="11" customWidth="1"/>
    <col min="14048" max="14048" width="10.7109375" style="11" customWidth="1"/>
    <col min="14049" max="14049" width="9.28515625" style="11" customWidth="1"/>
    <col min="14050" max="14050" width="10.42578125" style="11" customWidth="1"/>
    <col min="14051" max="14056" width="9.28515625" style="11" customWidth="1"/>
    <col min="14057" max="14057" width="8.28515625" style="11" customWidth="1"/>
    <col min="14058" max="14065" width="9.28515625" style="11" customWidth="1"/>
    <col min="14066" max="14259" width="9.85546875" style="11" customWidth="1"/>
    <col min="14260" max="14301" width="9" style="11"/>
    <col min="14302" max="14302" width="5" style="11" customWidth="1"/>
    <col min="14303" max="14303" width="34.42578125" style="11" customWidth="1"/>
    <col min="14304" max="14304" width="10.7109375" style="11" customWidth="1"/>
    <col min="14305" max="14305" width="9.28515625" style="11" customWidth="1"/>
    <col min="14306" max="14306" width="10.42578125" style="11" customWidth="1"/>
    <col min="14307" max="14312" width="9.28515625" style="11" customWidth="1"/>
    <col min="14313" max="14313" width="8.28515625" style="11" customWidth="1"/>
    <col min="14314" max="14321" width="9.28515625" style="11" customWidth="1"/>
    <col min="14322" max="14515" width="9.85546875" style="11" customWidth="1"/>
    <col min="14516" max="14557" width="9" style="11"/>
    <col min="14558" max="14558" width="5" style="11" customWidth="1"/>
    <col min="14559" max="14559" width="34.42578125" style="11" customWidth="1"/>
    <col min="14560" max="14560" width="10.7109375" style="11" customWidth="1"/>
    <col min="14561" max="14561" width="9.28515625" style="11" customWidth="1"/>
    <col min="14562" max="14562" width="10.42578125" style="11" customWidth="1"/>
    <col min="14563" max="14568" width="9.28515625" style="11" customWidth="1"/>
    <col min="14569" max="14569" width="8.28515625" style="11" customWidth="1"/>
    <col min="14570" max="14577" width="9.28515625" style="11" customWidth="1"/>
    <col min="14578" max="14771" width="9.85546875" style="11" customWidth="1"/>
    <col min="14772" max="14813" width="9" style="11"/>
    <col min="14814" max="14814" width="5" style="11" customWidth="1"/>
    <col min="14815" max="14815" width="34.42578125" style="11" customWidth="1"/>
    <col min="14816" max="14816" width="10.7109375" style="11" customWidth="1"/>
    <col min="14817" max="14817" width="9.28515625" style="11" customWidth="1"/>
    <col min="14818" max="14818" width="10.42578125" style="11" customWidth="1"/>
    <col min="14819" max="14824" width="9.28515625" style="11" customWidth="1"/>
    <col min="14825" max="14825" width="8.28515625" style="11" customWidth="1"/>
    <col min="14826" max="14833" width="9.28515625" style="11" customWidth="1"/>
    <col min="14834" max="15027" width="9.85546875" style="11" customWidth="1"/>
    <col min="15028" max="15069" width="9" style="11"/>
    <col min="15070" max="15070" width="5" style="11" customWidth="1"/>
    <col min="15071" max="15071" width="34.42578125" style="11" customWidth="1"/>
    <col min="15072" max="15072" width="10.7109375" style="11" customWidth="1"/>
    <col min="15073" max="15073" width="9.28515625" style="11" customWidth="1"/>
    <col min="15074" max="15074" width="10.42578125" style="11" customWidth="1"/>
    <col min="15075" max="15080" width="9.28515625" style="11" customWidth="1"/>
    <col min="15081" max="15081" width="8.28515625" style="11" customWidth="1"/>
    <col min="15082" max="15089" width="9.28515625" style="11" customWidth="1"/>
    <col min="15090" max="15283" width="9.85546875" style="11" customWidth="1"/>
    <col min="15284" max="15325" width="9" style="11"/>
    <col min="15326" max="15326" width="5" style="11" customWidth="1"/>
    <col min="15327" max="15327" width="34.42578125" style="11" customWidth="1"/>
    <col min="15328" max="15328" width="10.7109375" style="11" customWidth="1"/>
    <col min="15329" max="15329" width="9.28515625" style="11" customWidth="1"/>
    <col min="15330" max="15330" width="10.42578125" style="11" customWidth="1"/>
    <col min="15331" max="15336" width="9.28515625" style="11" customWidth="1"/>
    <col min="15337" max="15337" width="8.28515625" style="11" customWidth="1"/>
    <col min="15338" max="15345" width="9.28515625" style="11" customWidth="1"/>
    <col min="15346" max="15539" width="9.85546875" style="11" customWidth="1"/>
    <col min="15540" max="15581" width="9" style="11"/>
    <col min="15582" max="15582" width="5" style="11" customWidth="1"/>
    <col min="15583" max="15583" width="34.42578125" style="11" customWidth="1"/>
    <col min="15584" max="15584" width="10.7109375" style="11" customWidth="1"/>
    <col min="15585" max="15585" width="9.28515625" style="11" customWidth="1"/>
    <col min="15586" max="15586" width="10.42578125" style="11" customWidth="1"/>
    <col min="15587" max="15592" width="9.28515625" style="11" customWidth="1"/>
    <col min="15593" max="15593" width="8.28515625" style="11" customWidth="1"/>
    <col min="15594" max="15601" width="9.28515625" style="11" customWidth="1"/>
    <col min="15602" max="15795" width="9.85546875" style="11" customWidth="1"/>
    <col min="15796" max="15837" width="9" style="11"/>
    <col min="15838" max="15838" width="5" style="11" customWidth="1"/>
    <col min="15839" max="15839" width="34.42578125" style="11" customWidth="1"/>
    <col min="15840" max="15840" width="10.7109375" style="11" customWidth="1"/>
    <col min="15841" max="15841" width="9.28515625" style="11" customWidth="1"/>
    <col min="15842" max="15842" width="10.42578125" style="11" customWidth="1"/>
    <col min="15843" max="15848" width="9.28515625" style="11" customWidth="1"/>
    <col min="15849" max="15849" width="8.28515625" style="11" customWidth="1"/>
    <col min="15850" max="15857" width="9.28515625" style="11" customWidth="1"/>
    <col min="15858" max="16384" width="9.85546875" style="11" customWidth="1"/>
  </cols>
  <sheetData>
    <row r="2" spans="1:24">
      <c r="B2" s="1886" t="s">
        <v>313</v>
      </c>
      <c r="C2" s="1886"/>
      <c r="D2" s="1886"/>
      <c r="E2" s="1886"/>
      <c r="F2" s="1886"/>
      <c r="G2" s="1886"/>
      <c r="H2" s="1886"/>
      <c r="I2" s="1886"/>
      <c r="J2" s="1886"/>
      <c r="K2" s="1886"/>
      <c r="L2" s="1886"/>
      <c r="M2" s="1886"/>
      <c r="N2" s="1886"/>
      <c r="O2" s="1886"/>
      <c r="P2" s="1886"/>
      <c r="Q2" s="1886"/>
      <c r="R2" s="1886"/>
      <c r="S2" s="1886"/>
      <c r="T2" s="1886"/>
      <c r="U2" s="1886"/>
      <c r="V2" s="1886"/>
      <c r="W2" s="1886"/>
      <c r="X2" s="1886"/>
    </row>
    <row r="3" spans="1:24">
      <c r="U3" s="1899" t="s">
        <v>228</v>
      </c>
      <c r="V3" s="1899"/>
      <c r="W3" s="1899"/>
      <c r="X3" s="1899"/>
    </row>
    <row r="4" spans="1:24">
      <c r="B4" s="1893" t="s">
        <v>309</v>
      </c>
      <c r="C4" s="1903" t="s">
        <v>626</v>
      </c>
      <c r="D4" s="1896" t="s">
        <v>250</v>
      </c>
      <c r="E4" s="1887" t="s">
        <v>0</v>
      </c>
      <c r="F4" s="1888"/>
      <c r="G4" s="1888"/>
      <c r="H4" s="1888"/>
      <c r="I4" s="1888"/>
      <c r="J4" s="1888"/>
      <c r="K4" s="1888"/>
      <c r="L4" s="1888"/>
      <c r="M4" s="1888"/>
      <c r="N4" s="1888"/>
      <c r="O4" s="1888"/>
      <c r="P4" s="1888"/>
      <c r="Q4" s="1888"/>
      <c r="R4" s="1888"/>
      <c r="S4" s="1888"/>
      <c r="T4" s="1888"/>
      <c r="U4" s="1888"/>
      <c r="V4" s="1888"/>
      <c r="W4" s="1888"/>
      <c r="X4" s="1889"/>
    </row>
    <row r="5" spans="1:24">
      <c r="B5" s="1894"/>
      <c r="C5" s="1894"/>
      <c r="D5" s="1897"/>
      <c r="E5" s="1900" t="s">
        <v>308</v>
      </c>
      <c r="F5" s="1887" t="s">
        <v>311</v>
      </c>
      <c r="G5" s="1888"/>
      <c r="H5" s="1888"/>
      <c r="I5" s="1888"/>
      <c r="J5" s="1888"/>
      <c r="K5" s="1889"/>
      <c r="L5" s="1887" t="s">
        <v>310</v>
      </c>
      <c r="M5" s="1888"/>
      <c r="N5" s="1888"/>
      <c r="O5" s="1888"/>
      <c r="P5" s="1888"/>
      <c r="Q5" s="1888"/>
      <c r="R5" s="1888"/>
      <c r="S5" s="1888"/>
      <c r="T5" s="1888"/>
      <c r="U5" s="1888"/>
      <c r="V5" s="1888"/>
      <c r="W5" s="1888"/>
      <c r="X5" s="1889"/>
    </row>
    <row r="6" spans="1:24">
      <c r="B6" s="1894"/>
      <c r="C6" s="1894"/>
      <c r="D6" s="1897"/>
      <c r="E6" s="1901"/>
      <c r="F6" s="1890"/>
      <c r="G6" s="1891"/>
      <c r="H6" s="1891"/>
      <c r="I6" s="1891"/>
      <c r="J6" s="1891"/>
      <c r="K6" s="1892"/>
      <c r="L6" s="1890"/>
      <c r="M6" s="1891"/>
      <c r="N6" s="1891"/>
      <c r="O6" s="1891"/>
      <c r="P6" s="1891"/>
      <c r="Q6" s="1891"/>
      <c r="R6" s="1891"/>
      <c r="S6" s="1891"/>
      <c r="T6" s="1891"/>
      <c r="U6" s="1891"/>
      <c r="V6" s="1891"/>
      <c r="W6" s="1891"/>
      <c r="X6" s="1892"/>
    </row>
    <row r="7" spans="1:24" s="12" customFormat="1" ht="24">
      <c r="B7" s="1895"/>
      <c r="C7" s="1895"/>
      <c r="D7" s="1898"/>
      <c r="E7" s="1901"/>
      <c r="F7" s="798" t="s">
        <v>5</v>
      </c>
      <c r="G7" s="798" t="s">
        <v>34</v>
      </c>
      <c r="H7" s="799" t="s">
        <v>1</v>
      </c>
      <c r="I7" s="799" t="s">
        <v>2</v>
      </c>
      <c r="J7" s="800" t="s">
        <v>3</v>
      </c>
      <c r="K7" s="801" t="s">
        <v>4</v>
      </c>
      <c r="L7" s="802" t="s">
        <v>5</v>
      </c>
      <c r="M7" s="803" t="s">
        <v>6</v>
      </c>
      <c r="N7" s="804" t="s">
        <v>7</v>
      </c>
      <c r="O7" s="804" t="s">
        <v>8</v>
      </c>
      <c r="P7" s="804" t="s">
        <v>9</v>
      </c>
      <c r="Q7" s="804" t="s">
        <v>10</v>
      </c>
      <c r="R7" s="804" t="s">
        <v>11</v>
      </c>
      <c r="S7" s="804" t="s">
        <v>12</v>
      </c>
      <c r="T7" s="804" t="s">
        <v>13</v>
      </c>
      <c r="U7" s="804" t="s">
        <v>14</v>
      </c>
      <c r="V7" s="804" t="s">
        <v>15</v>
      </c>
      <c r="W7" s="804" t="s">
        <v>16</v>
      </c>
      <c r="X7" s="804" t="s">
        <v>17</v>
      </c>
    </row>
    <row r="8" spans="1:24" s="21" customFormat="1">
      <c r="B8" s="593"/>
      <c r="C8" s="593"/>
      <c r="D8" s="594"/>
      <c r="E8" s="1902"/>
      <c r="F8" s="805"/>
      <c r="G8" s="805">
        <v>1</v>
      </c>
      <c r="H8" s="806">
        <v>2</v>
      </c>
      <c r="I8" s="806">
        <v>3</v>
      </c>
      <c r="J8" s="806">
        <v>4</v>
      </c>
      <c r="K8" s="806">
        <v>5</v>
      </c>
      <c r="L8" s="807"/>
      <c r="M8" s="808">
        <v>1</v>
      </c>
      <c r="N8" s="809">
        <v>2</v>
      </c>
      <c r="O8" s="808">
        <v>3</v>
      </c>
      <c r="P8" s="809">
        <v>4</v>
      </c>
      <c r="Q8" s="808">
        <v>5</v>
      </c>
      <c r="R8" s="809">
        <v>6</v>
      </c>
      <c r="S8" s="808">
        <v>7</v>
      </c>
      <c r="T8" s="809">
        <v>8</v>
      </c>
      <c r="U8" s="808">
        <v>9</v>
      </c>
      <c r="V8" s="809">
        <v>10</v>
      </c>
      <c r="W8" s="808">
        <v>11</v>
      </c>
      <c r="X8" s="809">
        <v>12</v>
      </c>
    </row>
    <row r="9" spans="1:24" s="92" customFormat="1" ht="11.25">
      <c r="B9" s="75"/>
      <c r="C9" s="75"/>
      <c r="D9" s="814" t="s">
        <v>244</v>
      </c>
      <c r="E9" s="972">
        <f>F9+L9</f>
        <v>68313555.540000007</v>
      </c>
      <c r="F9" s="972">
        <f>SUM(G9:K9)</f>
        <v>20779496</v>
      </c>
      <c r="G9" s="972">
        <f>G10+G47+G52+G149+G213+G233+G264+G314+G326+G354+G380+G406+G429+G441+G443+G447+G459+G466+G477+G488+G514</f>
        <v>13044575</v>
      </c>
      <c r="H9" s="972">
        <f>H10+H47+H52+H149+H213+H233+H264+H314+H326+H354+H380+H406+H429+H441+H443+H447+H459+H466+H477+H488+H514</f>
        <v>278900</v>
      </c>
      <c r="I9" s="972">
        <f>I10+I47+I52+I149+I213+I233+I264+I314+I326+I354+I380+I406+I429+I441+I443+I447+I459+I466+I477+I488+I514</f>
        <v>6984202</v>
      </c>
      <c r="J9" s="972">
        <f>J10+J47+J52+J149+J213+J233+J264+J314+J326+J354+J380+J406+J429+J441+J443+J447+J459+J466+J477+J488+J514</f>
        <v>274920</v>
      </c>
      <c r="K9" s="972">
        <f>K10+K47+K52+K149+K213+K233+K264+K314+K326+K354+K380+K406+K429+K441+K443+K447+K459+K466+K477+K488+K514</f>
        <v>196899</v>
      </c>
      <c r="L9" s="972">
        <f>SUM(M9:X9)</f>
        <v>47534059.540000007</v>
      </c>
      <c r="M9" s="972">
        <f t="shared" ref="M9:X9" si="0">M10+M47+M52+M149+M213+M233+M264+M314+M326+M354+M380+M406+M429+M441+M443+M447+M459+M466+M477+M488+M514</f>
        <v>9123380</v>
      </c>
      <c r="N9" s="972">
        <f t="shared" si="0"/>
        <v>1860243.2039999999</v>
      </c>
      <c r="O9" s="972">
        <f t="shared" si="0"/>
        <v>3108632</v>
      </c>
      <c r="P9" s="972">
        <f t="shared" si="0"/>
        <v>4222246</v>
      </c>
      <c r="Q9" s="972">
        <f t="shared" si="0"/>
        <v>4791793</v>
      </c>
      <c r="R9" s="972">
        <f t="shared" si="0"/>
        <v>2737917.35</v>
      </c>
      <c r="S9" s="972">
        <f t="shared" si="0"/>
        <v>4248689.6459999997</v>
      </c>
      <c r="T9" s="972">
        <f t="shared" si="0"/>
        <v>3217748.3</v>
      </c>
      <c r="U9" s="972">
        <f t="shared" si="0"/>
        <v>4633827.04</v>
      </c>
      <c r="V9" s="972">
        <f t="shared" si="0"/>
        <v>3115177</v>
      </c>
      <c r="W9" s="972">
        <f t="shared" si="0"/>
        <v>2028025</v>
      </c>
      <c r="X9" s="972">
        <f t="shared" si="0"/>
        <v>4446381</v>
      </c>
    </row>
    <row r="10" spans="1:24" s="5" customFormat="1" ht="60">
      <c r="A10" s="5">
        <v>1</v>
      </c>
      <c r="B10" s="595">
        <v>1</v>
      </c>
      <c r="C10" s="596" t="s">
        <v>34</v>
      </c>
      <c r="D10" s="815" t="s">
        <v>243</v>
      </c>
      <c r="E10" s="973">
        <f t="shared" ref="E10:E72" si="1">F10+L10</f>
        <v>11606586.449999999</v>
      </c>
      <c r="F10" s="973">
        <f t="shared" ref="F10:F72" si="2">SUM(G10:K10)</f>
        <v>1052250</v>
      </c>
      <c r="G10" s="974">
        <f>G11+G23+G35+G47</f>
        <v>1052250</v>
      </c>
      <c r="H10" s="975">
        <f>H11+H23+H35+H47</f>
        <v>0</v>
      </c>
      <c r="I10" s="975">
        <f>I11+I23+I35+I47</f>
        <v>0</v>
      </c>
      <c r="J10" s="975">
        <f>J11+J23+J35+J47</f>
        <v>0</v>
      </c>
      <c r="K10" s="975">
        <f>K11+K23+K35+K47</f>
        <v>0</v>
      </c>
      <c r="L10" s="973">
        <f t="shared" ref="L10:L72" si="3">SUM(M10:X10)</f>
        <v>10554336.449999999</v>
      </c>
      <c r="M10" s="974">
        <f t="shared" ref="M10:X10" si="4">M11+M23+M35+M47</f>
        <v>3369205</v>
      </c>
      <c r="N10" s="974">
        <f t="shared" si="4"/>
        <v>202250</v>
      </c>
      <c r="O10" s="974">
        <f t="shared" si="4"/>
        <v>807530</v>
      </c>
      <c r="P10" s="974">
        <f t="shared" si="4"/>
        <v>703824</v>
      </c>
      <c r="Q10" s="974">
        <f t="shared" si="4"/>
        <v>1221426</v>
      </c>
      <c r="R10" s="974">
        <f t="shared" si="4"/>
        <v>623033.15</v>
      </c>
      <c r="S10" s="974">
        <f t="shared" si="4"/>
        <v>745464</v>
      </c>
      <c r="T10" s="974">
        <f t="shared" si="4"/>
        <v>536874.30000000005</v>
      </c>
      <c r="U10" s="974">
        <f t="shared" si="4"/>
        <v>464600</v>
      </c>
      <c r="V10" s="974">
        <f t="shared" si="4"/>
        <v>1183190</v>
      </c>
      <c r="W10" s="974">
        <f t="shared" si="4"/>
        <v>113280</v>
      </c>
      <c r="X10" s="974">
        <f t="shared" si="4"/>
        <v>583660</v>
      </c>
    </row>
    <row r="11" spans="1:24" s="13" customFormat="1" ht="36">
      <c r="A11" s="13" t="s">
        <v>806</v>
      </c>
      <c r="B11" s="598" t="s">
        <v>578</v>
      </c>
      <c r="C11" s="599" t="s">
        <v>34</v>
      </c>
      <c r="D11" s="816" t="s">
        <v>305</v>
      </c>
      <c r="E11" s="976">
        <f t="shared" si="1"/>
        <v>1465350</v>
      </c>
      <c r="F11" s="976">
        <f t="shared" si="2"/>
        <v>286000</v>
      </c>
      <c r="G11" s="977">
        <f>SUM(G12:G22)</f>
        <v>286000</v>
      </c>
      <c r="H11" s="978">
        <f>SUM(H12:H22)</f>
        <v>0</v>
      </c>
      <c r="I11" s="978">
        <f>SUM(I12:I22)</f>
        <v>0</v>
      </c>
      <c r="J11" s="978">
        <f>SUM(J12:J22)</f>
        <v>0</v>
      </c>
      <c r="K11" s="978">
        <f>SUM(K12:K22)</f>
        <v>0</v>
      </c>
      <c r="L11" s="976">
        <f t="shared" si="3"/>
        <v>1179350</v>
      </c>
      <c r="M11" s="977">
        <f t="shared" ref="M11:X11" si="5">SUM(M12:M22)</f>
        <v>66402</v>
      </c>
      <c r="N11" s="977">
        <f t="shared" si="5"/>
        <v>50000</v>
      </c>
      <c r="O11" s="977">
        <f t="shared" si="5"/>
        <v>45650</v>
      </c>
      <c r="P11" s="977">
        <f t="shared" si="5"/>
        <v>298120</v>
      </c>
      <c r="Q11" s="977">
        <f t="shared" si="5"/>
        <v>52500</v>
      </c>
      <c r="R11" s="977">
        <f t="shared" si="5"/>
        <v>49700</v>
      </c>
      <c r="S11" s="977">
        <f t="shared" si="5"/>
        <v>136980</v>
      </c>
      <c r="T11" s="977">
        <f t="shared" si="5"/>
        <v>63468</v>
      </c>
      <c r="U11" s="977">
        <f t="shared" si="5"/>
        <v>50800</v>
      </c>
      <c r="V11" s="977">
        <f t="shared" si="5"/>
        <v>57390</v>
      </c>
      <c r="W11" s="977">
        <f t="shared" si="5"/>
        <v>113280</v>
      </c>
      <c r="X11" s="977">
        <f t="shared" si="5"/>
        <v>195060</v>
      </c>
    </row>
    <row r="12" spans="1:24" s="7" customFormat="1" ht="36">
      <c r="B12" s="601">
        <v>1.1000000000000001</v>
      </c>
      <c r="C12" s="602" t="s">
        <v>34</v>
      </c>
      <c r="D12" s="817" t="s">
        <v>617</v>
      </c>
      <c r="E12" s="973">
        <f t="shared" si="1"/>
        <v>420370</v>
      </c>
      <c r="F12" s="973">
        <f t="shared" si="2"/>
        <v>200000</v>
      </c>
      <c r="G12" s="979">
        <v>200000</v>
      </c>
      <c r="H12" s="980"/>
      <c r="I12" s="980"/>
      <c r="J12" s="980"/>
      <c r="K12" s="980"/>
      <c r="L12" s="973">
        <f t="shared" si="3"/>
        <v>220370</v>
      </c>
      <c r="M12" s="979"/>
      <c r="N12" s="979">
        <v>12000</v>
      </c>
      <c r="O12" s="979">
        <v>8400</v>
      </c>
      <c r="P12" s="979">
        <v>7040</v>
      </c>
      <c r="Q12" s="979"/>
      <c r="R12" s="979"/>
      <c r="S12" s="979">
        <v>10400</v>
      </c>
      <c r="T12" s="979">
        <v>13160</v>
      </c>
      <c r="U12" s="979">
        <v>10000</v>
      </c>
      <c r="V12" s="979">
        <v>11430</v>
      </c>
      <c r="W12" s="979">
        <v>63680</v>
      </c>
      <c r="X12" s="979">
        <v>84260</v>
      </c>
    </row>
    <row r="13" spans="1:24" s="7" customFormat="1" ht="36">
      <c r="B13" s="601">
        <v>1.2</v>
      </c>
      <c r="C13" s="602" t="s">
        <v>34</v>
      </c>
      <c r="D13" s="818" t="s">
        <v>634</v>
      </c>
      <c r="E13" s="973"/>
      <c r="F13" s="973"/>
      <c r="G13" s="981"/>
      <c r="H13" s="982"/>
      <c r="I13" s="982"/>
      <c r="J13" s="982"/>
      <c r="K13" s="982"/>
      <c r="L13" s="973"/>
      <c r="M13" s="981"/>
      <c r="N13" s="981"/>
      <c r="O13" s="981"/>
      <c r="P13" s="981"/>
      <c r="Q13" s="981"/>
      <c r="R13" s="981"/>
      <c r="S13" s="981"/>
      <c r="T13" s="981"/>
      <c r="U13" s="981"/>
      <c r="V13" s="981"/>
      <c r="W13" s="981"/>
      <c r="X13" s="981"/>
    </row>
    <row r="14" spans="1:24" s="7" customFormat="1" ht="48">
      <c r="B14" s="601">
        <v>1.3</v>
      </c>
      <c r="C14" s="602" t="s">
        <v>34</v>
      </c>
      <c r="D14" s="819" t="s">
        <v>306</v>
      </c>
      <c r="E14" s="973">
        <f t="shared" si="1"/>
        <v>262348</v>
      </c>
      <c r="F14" s="973">
        <f t="shared" si="2"/>
        <v>24000</v>
      </c>
      <c r="G14" s="981">
        <v>24000</v>
      </c>
      <c r="H14" s="982"/>
      <c r="I14" s="982"/>
      <c r="J14" s="982"/>
      <c r="K14" s="982"/>
      <c r="L14" s="973">
        <f t="shared" si="3"/>
        <v>238348</v>
      </c>
      <c r="M14" s="981">
        <v>45600</v>
      </c>
      <c r="N14" s="981">
        <v>20000</v>
      </c>
      <c r="O14" s="981">
        <v>3520</v>
      </c>
      <c r="P14" s="981">
        <v>44400</v>
      </c>
      <c r="Q14" s="981">
        <v>2500</v>
      </c>
      <c r="R14" s="981">
        <v>1500</v>
      </c>
      <c r="S14" s="981">
        <v>8200</v>
      </c>
      <c r="T14" s="981">
        <v>33648</v>
      </c>
      <c r="U14" s="981">
        <v>25800</v>
      </c>
      <c r="V14" s="981">
        <v>5960</v>
      </c>
      <c r="W14" s="981">
        <v>9600</v>
      </c>
      <c r="X14" s="981">
        <v>37620</v>
      </c>
    </row>
    <row r="15" spans="1:24" s="7" customFormat="1" ht="24">
      <c r="B15" s="601">
        <v>1.4</v>
      </c>
      <c r="C15" s="602" t="s">
        <v>34</v>
      </c>
      <c r="D15" s="819" t="s">
        <v>187</v>
      </c>
      <c r="E15" s="973">
        <f t="shared" si="1"/>
        <v>42970</v>
      </c>
      <c r="F15" s="973">
        <f t="shared" si="2"/>
        <v>0</v>
      </c>
      <c r="G15" s="981"/>
      <c r="H15" s="982"/>
      <c r="I15" s="982"/>
      <c r="J15" s="982"/>
      <c r="K15" s="982"/>
      <c r="L15" s="973">
        <f t="shared" si="3"/>
        <v>42970</v>
      </c>
      <c r="M15" s="981">
        <v>500</v>
      </c>
      <c r="N15" s="981"/>
      <c r="O15" s="981">
        <v>330</v>
      </c>
      <c r="P15" s="981">
        <v>1680</v>
      </c>
      <c r="Q15" s="981">
        <v>2000</v>
      </c>
      <c r="R15" s="981">
        <v>2000</v>
      </c>
      <c r="S15" s="981">
        <v>9800</v>
      </c>
      <c r="T15" s="981">
        <v>660</v>
      </c>
      <c r="U15" s="981">
        <v>15000</v>
      </c>
      <c r="V15" s="981">
        <v>3000</v>
      </c>
      <c r="W15" s="981">
        <v>4000</v>
      </c>
      <c r="X15" s="981">
        <v>4000</v>
      </c>
    </row>
    <row r="16" spans="1:24" s="7" customFormat="1" ht="24">
      <c r="B16" s="601">
        <v>1.5</v>
      </c>
      <c r="C16" s="602" t="s">
        <v>34</v>
      </c>
      <c r="D16" s="819" t="s">
        <v>188</v>
      </c>
      <c r="E16" s="973">
        <f t="shared" si="1"/>
        <v>89202</v>
      </c>
      <c r="F16" s="973">
        <f t="shared" si="2"/>
        <v>12000</v>
      </c>
      <c r="G16" s="981">
        <v>12000</v>
      </c>
      <c r="H16" s="982"/>
      <c r="I16" s="982"/>
      <c r="J16" s="982"/>
      <c r="K16" s="982"/>
      <c r="L16" s="973">
        <f t="shared" si="3"/>
        <v>77202</v>
      </c>
      <c r="M16" s="981">
        <v>702</v>
      </c>
      <c r="N16" s="981">
        <v>10000</v>
      </c>
      <c r="O16" s="981">
        <v>10000</v>
      </c>
      <c r="P16" s="981">
        <v>30000</v>
      </c>
      <c r="Q16" s="981">
        <v>3000</v>
      </c>
      <c r="R16" s="981"/>
      <c r="S16" s="981">
        <v>2500</v>
      </c>
      <c r="T16" s="981"/>
      <c r="U16" s="981"/>
      <c r="V16" s="981">
        <v>5000</v>
      </c>
      <c r="W16" s="981"/>
      <c r="X16" s="981">
        <v>16000</v>
      </c>
    </row>
    <row r="17" spans="1:24" s="7" customFormat="1" ht="36">
      <c r="B17" s="601">
        <v>1.6</v>
      </c>
      <c r="C17" s="602" t="s">
        <v>34</v>
      </c>
      <c r="D17" s="820" t="s">
        <v>207</v>
      </c>
      <c r="E17" s="973">
        <f t="shared" si="1"/>
        <v>54000</v>
      </c>
      <c r="F17" s="973">
        <f t="shared" si="2"/>
        <v>0</v>
      </c>
      <c r="G17" s="983"/>
      <c r="H17" s="984"/>
      <c r="I17" s="984"/>
      <c r="J17" s="984"/>
      <c r="K17" s="984"/>
      <c r="L17" s="973">
        <f t="shared" si="3"/>
        <v>54000</v>
      </c>
      <c r="M17" s="981"/>
      <c r="N17" s="985"/>
      <c r="O17" s="985">
        <v>5000</v>
      </c>
      <c r="P17" s="985">
        <v>10000</v>
      </c>
      <c r="Q17" s="985"/>
      <c r="R17" s="985">
        <v>9000</v>
      </c>
      <c r="S17" s="981">
        <v>20000</v>
      </c>
      <c r="T17" s="985">
        <v>10000</v>
      </c>
      <c r="U17" s="985"/>
      <c r="V17" s="985"/>
      <c r="W17" s="985"/>
      <c r="X17" s="981"/>
    </row>
    <row r="18" spans="1:24" s="7" customFormat="1">
      <c r="B18" s="601">
        <v>1.7</v>
      </c>
      <c r="C18" s="602" t="s">
        <v>34</v>
      </c>
      <c r="D18" s="819" t="s">
        <v>189</v>
      </c>
      <c r="E18" s="973">
        <f t="shared" si="1"/>
        <v>332680</v>
      </c>
      <c r="F18" s="973">
        <f t="shared" si="2"/>
        <v>0</v>
      </c>
      <c r="G18" s="981"/>
      <c r="H18" s="982"/>
      <c r="I18" s="982"/>
      <c r="J18" s="982"/>
      <c r="K18" s="982"/>
      <c r="L18" s="973">
        <f t="shared" si="3"/>
        <v>332680</v>
      </c>
      <c r="M18" s="981"/>
      <c r="N18" s="981">
        <v>4500</v>
      </c>
      <c r="O18" s="981">
        <v>8400</v>
      </c>
      <c r="P18" s="981">
        <v>105000</v>
      </c>
      <c r="Q18" s="981"/>
      <c r="R18" s="981">
        <v>30000</v>
      </c>
      <c r="S18" s="981">
        <v>83580</v>
      </c>
      <c r="T18" s="981"/>
      <c r="U18" s="981"/>
      <c r="V18" s="981">
        <v>22000</v>
      </c>
      <c r="W18" s="981">
        <v>36000</v>
      </c>
      <c r="X18" s="981">
        <v>43200</v>
      </c>
    </row>
    <row r="19" spans="1:24" s="7" customFormat="1" ht="24">
      <c r="B19" s="601">
        <v>1.8</v>
      </c>
      <c r="C19" s="602" t="s">
        <v>34</v>
      </c>
      <c r="D19" s="819" t="s">
        <v>216</v>
      </c>
      <c r="E19" s="973">
        <f t="shared" si="1"/>
        <v>191300</v>
      </c>
      <c r="F19" s="973">
        <f t="shared" si="2"/>
        <v>0</v>
      </c>
      <c r="G19" s="981"/>
      <c r="H19" s="982"/>
      <c r="I19" s="982"/>
      <c r="J19" s="982"/>
      <c r="K19" s="982"/>
      <c r="L19" s="973">
        <f t="shared" si="3"/>
        <v>191300</v>
      </c>
      <c r="M19" s="981">
        <v>19600</v>
      </c>
      <c r="N19" s="981">
        <v>3500</v>
      </c>
      <c r="O19" s="981">
        <v>10000</v>
      </c>
      <c r="P19" s="981">
        <v>100000</v>
      </c>
      <c r="Q19" s="981">
        <v>45000</v>
      </c>
      <c r="R19" s="981">
        <v>7200</v>
      </c>
      <c r="S19" s="981"/>
      <c r="T19" s="981">
        <v>6000</v>
      </c>
      <c r="U19" s="981"/>
      <c r="V19" s="981"/>
      <c r="W19" s="981"/>
      <c r="X19" s="981"/>
    </row>
    <row r="20" spans="1:24" s="8" customFormat="1" ht="36">
      <c r="B20" s="601">
        <v>1.9</v>
      </c>
      <c r="C20" s="602" t="s">
        <v>34</v>
      </c>
      <c r="D20" s="818" t="s">
        <v>635</v>
      </c>
      <c r="E20" s="973"/>
      <c r="F20" s="973"/>
      <c r="G20" s="981"/>
      <c r="H20" s="982"/>
      <c r="I20" s="982"/>
      <c r="J20" s="982"/>
      <c r="K20" s="982"/>
      <c r="L20" s="973"/>
      <c r="M20" s="981"/>
      <c r="N20" s="981"/>
      <c r="O20" s="981"/>
      <c r="P20" s="981"/>
      <c r="Q20" s="981"/>
      <c r="R20" s="981"/>
      <c r="S20" s="981"/>
      <c r="T20" s="981"/>
      <c r="U20" s="981"/>
      <c r="V20" s="981"/>
      <c r="W20" s="981"/>
      <c r="X20" s="981"/>
    </row>
    <row r="21" spans="1:24" ht="48">
      <c r="B21" s="601">
        <v>1.1000000000000001</v>
      </c>
      <c r="C21" s="602" t="s">
        <v>34</v>
      </c>
      <c r="D21" s="819" t="s">
        <v>636</v>
      </c>
      <c r="E21" s="973"/>
      <c r="F21" s="973"/>
      <c r="G21" s="981"/>
      <c r="H21" s="982"/>
      <c r="I21" s="982"/>
      <c r="J21" s="982"/>
      <c r="K21" s="982"/>
      <c r="L21" s="973"/>
      <c r="M21" s="981"/>
      <c r="N21" s="981"/>
      <c r="O21" s="981"/>
      <c r="P21" s="981"/>
      <c r="Q21" s="981"/>
      <c r="R21" s="981"/>
      <c r="S21" s="981"/>
      <c r="T21" s="981"/>
      <c r="U21" s="981"/>
      <c r="V21" s="981"/>
      <c r="W21" s="981"/>
      <c r="X21" s="981"/>
    </row>
    <row r="22" spans="1:24" ht="36">
      <c r="B22" s="601">
        <v>1.17</v>
      </c>
      <c r="C22" s="602" t="s">
        <v>34</v>
      </c>
      <c r="D22" s="819" t="s">
        <v>509</v>
      </c>
      <c r="E22" s="973">
        <f t="shared" si="1"/>
        <v>72480</v>
      </c>
      <c r="F22" s="973">
        <f t="shared" si="2"/>
        <v>50000</v>
      </c>
      <c r="G22" s="981">
        <v>50000</v>
      </c>
      <c r="H22" s="982"/>
      <c r="I22" s="982"/>
      <c r="J22" s="982"/>
      <c r="K22" s="982"/>
      <c r="L22" s="973">
        <f t="shared" si="3"/>
        <v>22480</v>
      </c>
      <c r="M22" s="981"/>
      <c r="N22" s="981"/>
      <c r="O22" s="981"/>
      <c r="P22" s="981"/>
      <c r="Q22" s="981"/>
      <c r="R22" s="981"/>
      <c r="S22" s="981">
        <v>2500</v>
      </c>
      <c r="T22" s="981"/>
      <c r="U22" s="981"/>
      <c r="V22" s="981">
        <v>10000</v>
      </c>
      <c r="W22" s="981"/>
      <c r="X22" s="981">
        <v>9980</v>
      </c>
    </row>
    <row r="23" spans="1:24" s="603" customFormat="1" ht="24">
      <c r="A23" s="603" t="s">
        <v>807</v>
      </c>
      <c r="B23" s="598" t="s">
        <v>579</v>
      </c>
      <c r="C23" s="599" t="s">
        <v>34</v>
      </c>
      <c r="D23" s="816" t="s">
        <v>511</v>
      </c>
      <c r="E23" s="976">
        <f t="shared" si="1"/>
        <v>9799770.4499999993</v>
      </c>
      <c r="F23" s="976">
        <f t="shared" si="2"/>
        <v>638850</v>
      </c>
      <c r="G23" s="977">
        <f>SUM(G24:G34)</f>
        <v>638850</v>
      </c>
      <c r="H23" s="978">
        <f t="shared" ref="H23:X23" si="6">SUM(H24:H34)</f>
        <v>0</v>
      </c>
      <c r="I23" s="978">
        <f t="shared" si="6"/>
        <v>0</v>
      </c>
      <c r="J23" s="978">
        <f t="shared" si="6"/>
        <v>0</v>
      </c>
      <c r="K23" s="978">
        <f t="shared" si="6"/>
        <v>0</v>
      </c>
      <c r="L23" s="976">
        <f t="shared" si="3"/>
        <v>9160920.4499999993</v>
      </c>
      <c r="M23" s="977">
        <f t="shared" si="6"/>
        <v>3273523</v>
      </c>
      <c r="N23" s="977">
        <f t="shared" si="6"/>
        <v>137750</v>
      </c>
      <c r="O23" s="977">
        <f t="shared" si="6"/>
        <v>754800</v>
      </c>
      <c r="P23" s="977">
        <f t="shared" si="6"/>
        <v>405704</v>
      </c>
      <c r="Q23" s="977">
        <f t="shared" si="6"/>
        <v>1005720</v>
      </c>
      <c r="R23" s="977">
        <f t="shared" si="6"/>
        <v>573333.15</v>
      </c>
      <c r="S23" s="977">
        <f t="shared" si="6"/>
        <v>608484</v>
      </c>
      <c r="T23" s="977">
        <f t="shared" si="6"/>
        <v>473406.3</v>
      </c>
      <c r="U23" s="977">
        <f t="shared" si="6"/>
        <v>413800</v>
      </c>
      <c r="V23" s="977">
        <f t="shared" si="6"/>
        <v>1125800</v>
      </c>
      <c r="W23" s="977">
        <f t="shared" si="6"/>
        <v>0</v>
      </c>
      <c r="X23" s="977">
        <f t="shared" si="6"/>
        <v>388600</v>
      </c>
    </row>
    <row r="24" spans="1:24" s="37" customFormat="1" ht="36">
      <c r="B24" s="601">
        <v>2.1</v>
      </c>
      <c r="C24" s="602" t="s">
        <v>34</v>
      </c>
      <c r="D24" s="819" t="s">
        <v>637</v>
      </c>
      <c r="E24" s="973">
        <f t="shared" si="1"/>
        <v>1038360</v>
      </c>
      <c r="F24" s="973">
        <f t="shared" si="2"/>
        <v>20000</v>
      </c>
      <c r="G24" s="981">
        <v>20000</v>
      </c>
      <c r="H24" s="982"/>
      <c r="I24" s="982"/>
      <c r="J24" s="982"/>
      <c r="K24" s="982"/>
      <c r="L24" s="973">
        <f t="shared" si="3"/>
        <v>1018360</v>
      </c>
      <c r="M24" s="981">
        <v>702000</v>
      </c>
      <c r="N24" s="981">
        <v>25000</v>
      </c>
      <c r="O24" s="981"/>
      <c r="P24" s="981">
        <v>7040</v>
      </c>
      <c r="Q24" s="981"/>
      <c r="R24" s="981">
        <v>3000</v>
      </c>
      <c r="S24" s="981">
        <v>14240</v>
      </c>
      <c r="T24" s="981">
        <v>17080</v>
      </c>
      <c r="U24" s="981"/>
      <c r="V24" s="981">
        <v>250000</v>
      </c>
      <c r="W24" s="981"/>
      <c r="X24" s="981"/>
    </row>
    <row r="25" spans="1:24" s="37" customFormat="1" ht="24">
      <c r="B25" s="601">
        <v>2.2999999999999998</v>
      </c>
      <c r="C25" s="602" t="s">
        <v>34</v>
      </c>
      <c r="D25" s="819" t="s">
        <v>188</v>
      </c>
      <c r="E25" s="973">
        <f t="shared" si="1"/>
        <v>39500</v>
      </c>
      <c r="F25" s="973">
        <f t="shared" si="2"/>
        <v>0</v>
      </c>
      <c r="G25" s="981">
        <v>0</v>
      </c>
      <c r="H25" s="982"/>
      <c r="I25" s="982"/>
      <c r="J25" s="982"/>
      <c r="K25" s="982"/>
      <c r="L25" s="973">
        <f t="shared" si="3"/>
        <v>39500</v>
      </c>
      <c r="M25" s="981"/>
      <c r="N25" s="981">
        <v>5000</v>
      </c>
      <c r="O25" s="981"/>
      <c r="P25" s="981">
        <v>10000</v>
      </c>
      <c r="Q25" s="981"/>
      <c r="R25" s="981">
        <v>4000</v>
      </c>
      <c r="S25" s="981">
        <v>2500</v>
      </c>
      <c r="T25" s="981">
        <v>13000</v>
      </c>
      <c r="U25" s="981"/>
      <c r="V25" s="981">
        <v>5000</v>
      </c>
      <c r="W25" s="981"/>
      <c r="X25" s="981"/>
    </row>
    <row r="26" spans="1:24" s="37" customFormat="1" ht="36">
      <c r="B26" s="601">
        <v>2.4</v>
      </c>
      <c r="C26" s="602" t="s">
        <v>34</v>
      </c>
      <c r="D26" s="819" t="s">
        <v>638</v>
      </c>
      <c r="E26" s="973">
        <f t="shared" si="1"/>
        <v>2739797.45</v>
      </c>
      <c r="F26" s="973">
        <f t="shared" si="2"/>
        <v>211600</v>
      </c>
      <c r="G26" s="981">
        <v>211600</v>
      </c>
      <c r="H26" s="982"/>
      <c r="I26" s="982"/>
      <c r="J26" s="982"/>
      <c r="K26" s="982"/>
      <c r="L26" s="973">
        <f t="shared" si="3"/>
        <v>2528197.4500000002</v>
      </c>
      <c r="M26" s="981">
        <v>395880</v>
      </c>
      <c r="N26" s="981">
        <v>107750</v>
      </c>
      <c r="O26" s="981">
        <v>448200</v>
      </c>
      <c r="P26" s="981">
        <v>82064</v>
      </c>
      <c r="Q26" s="981">
        <v>111000</v>
      </c>
      <c r="R26" s="981">
        <v>241733.15</v>
      </c>
      <c r="S26" s="981">
        <v>285144</v>
      </c>
      <c r="T26" s="981">
        <v>111826.3</v>
      </c>
      <c r="U26" s="981">
        <v>107200</v>
      </c>
      <c r="V26" s="981">
        <v>555400</v>
      </c>
      <c r="W26" s="981"/>
      <c r="X26" s="981">
        <v>82000</v>
      </c>
    </row>
    <row r="27" spans="1:24" s="37" customFormat="1">
      <c r="B27" s="601">
        <v>2.5</v>
      </c>
      <c r="C27" s="602" t="s">
        <v>34</v>
      </c>
      <c r="D27" s="819" t="s">
        <v>292</v>
      </c>
      <c r="E27" s="973"/>
      <c r="F27" s="973"/>
      <c r="G27" s="981"/>
      <c r="H27" s="982"/>
      <c r="I27" s="982"/>
      <c r="J27" s="982"/>
      <c r="K27" s="982"/>
      <c r="L27" s="973"/>
      <c r="M27" s="981"/>
      <c r="N27" s="981"/>
      <c r="O27" s="981"/>
      <c r="P27" s="981"/>
      <c r="Q27" s="981"/>
      <c r="R27" s="981"/>
      <c r="S27" s="981"/>
      <c r="T27" s="981"/>
      <c r="U27" s="981"/>
      <c r="V27" s="981"/>
      <c r="W27" s="981"/>
      <c r="X27" s="981"/>
    </row>
    <row r="28" spans="1:24" s="37" customFormat="1" ht="48">
      <c r="B28" s="601">
        <v>2.7</v>
      </c>
      <c r="C28" s="602" t="s">
        <v>34</v>
      </c>
      <c r="D28" s="818" t="s">
        <v>639</v>
      </c>
      <c r="E28" s="973"/>
      <c r="F28" s="973"/>
      <c r="G28" s="981"/>
      <c r="H28" s="982"/>
      <c r="I28" s="982"/>
      <c r="J28" s="982"/>
      <c r="K28" s="982"/>
      <c r="L28" s="973"/>
      <c r="M28" s="981"/>
      <c r="N28" s="981"/>
      <c r="O28" s="981"/>
      <c r="P28" s="981"/>
      <c r="Q28" s="981"/>
      <c r="R28" s="981"/>
      <c r="S28" s="981"/>
      <c r="T28" s="981"/>
      <c r="U28" s="981"/>
      <c r="V28" s="981"/>
      <c r="W28" s="981"/>
      <c r="X28" s="981"/>
    </row>
    <row r="29" spans="1:24" s="37" customFormat="1" ht="36">
      <c r="B29" s="601">
        <v>2.9</v>
      </c>
      <c r="C29" s="602" t="s">
        <v>34</v>
      </c>
      <c r="D29" s="819" t="s">
        <v>514</v>
      </c>
      <c r="E29" s="973">
        <f t="shared" si="1"/>
        <v>73940</v>
      </c>
      <c r="F29" s="973">
        <f t="shared" si="2"/>
        <v>0</v>
      </c>
      <c r="G29" s="981"/>
      <c r="H29" s="982"/>
      <c r="I29" s="982"/>
      <c r="J29" s="982"/>
      <c r="K29" s="982"/>
      <c r="L29" s="973">
        <f t="shared" si="3"/>
        <v>73940</v>
      </c>
      <c r="M29" s="981">
        <v>45080</v>
      </c>
      <c r="N29" s="981"/>
      <c r="O29" s="981"/>
      <c r="P29" s="981"/>
      <c r="Q29" s="981"/>
      <c r="R29" s="981"/>
      <c r="S29" s="981"/>
      <c r="T29" s="981">
        <v>28860</v>
      </c>
      <c r="U29" s="981"/>
      <c r="V29" s="981"/>
      <c r="W29" s="981"/>
      <c r="X29" s="981"/>
    </row>
    <row r="30" spans="1:24" s="37" customFormat="1">
      <c r="B30" s="601">
        <v>2.1</v>
      </c>
      <c r="C30" s="602" t="s">
        <v>34</v>
      </c>
      <c r="D30" s="819" t="s">
        <v>515</v>
      </c>
      <c r="E30" s="973">
        <f t="shared" si="1"/>
        <v>26913</v>
      </c>
      <c r="F30" s="973">
        <f t="shared" si="2"/>
        <v>0</v>
      </c>
      <c r="G30" s="981"/>
      <c r="H30" s="982"/>
      <c r="I30" s="982"/>
      <c r="J30" s="982"/>
      <c r="K30" s="982"/>
      <c r="L30" s="973">
        <f t="shared" si="3"/>
        <v>26913</v>
      </c>
      <c r="M30" s="981">
        <v>26913</v>
      </c>
      <c r="N30" s="981"/>
      <c r="O30" s="981"/>
      <c r="P30" s="981"/>
      <c r="Q30" s="981"/>
      <c r="R30" s="981"/>
      <c r="S30" s="981"/>
      <c r="T30" s="981"/>
      <c r="U30" s="981"/>
      <c r="V30" s="981"/>
      <c r="W30" s="981"/>
      <c r="X30" s="981"/>
    </row>
    <row r="31" spans="1:24" s="37" customFormat="1" ht="48">
      <c r="B31" s="601">
        <v>2.11</v>
      </c>
      <c r="C31" s="602" t="s">
        <v>34</v>
      </c>
      <c r="D31" s="819" t="s">
        <v>640</v>
      </c>
      <c r="E31" s="973">
        <f t="shared" si="1"/>
        <v>912000</v>
      </c>
      <c r="F31" s="973">
        <f t="shared" si="2"/>
        <v>24000</v>
      </c>
      <c r="G31" s="981">
        <v>24000</v>
      </c>
      <c r="H31" s="982"/>
      <c r="I31" s="982"/>
      <c r="J31" s="982"/>
      <c r="K31" s="982"/>
      <c r="L31" s="973">
        <f t="shared" si="3"/>
        <v>888000</v>
      </c>
      <c r="M31" s="981">
        <v>474000</v>
      </c>
      <c r="N31" s="981"/>
      <c r="O31" s="981"/>
      <c r="P31" s="981"/>
      <c r="Q31" s="981">
        <v>300000</v>
      </c>
      <c r="R31" s="981">
        <v>18000</v>
      </c>
      <c r="S31" s="981"/>
      <c r="T31" s="981">
        <v>96000</v>
      </c>
      <c r="U31" s="981"/>
      <c r="V31" s="981"/>
      <c r="W31" s="981"/>
      <c r="X31" s="981"/>
    </row>
    <row r="32" spans="1:24" s="37" customFormat="1" ht="36">
      <c r="B32" s="601">
        <v>2.12</v>
      </c>
      <c r="C32" s="602" t="s">
        <v>34</v>
      </c>
      <c r="D32" s="821" t="s">
        <v>517</v>
      </c>
      <c r="E32" s="973">
        <f t="shared" si="1"/>
        <v>4940460</v>
      </c>
      <c r="F32" s="973">
        <f t="shared" si="2"/>
        <v>383250</v>
      </c>
      <c r="G32" s="981">
        <v>383250</v>
      </c>
      <c r="H32" s="982"/>
      <c r="I32" s="982"/>
      <c r="J32" s="982"/>
      <c r="K32" s="982"/>
      <c r="L32" s="973">
        <f t="shared" si="3"/>
        <v>4557210</v>
      </c>
      <c r="M32" s="981">
        <v>1609650</v>
      </c>
      <c r="N32" s="981"/>
      <c r="O32" s="981">
        <v>306600</v>
      </c>
      <c r="P32" s="981">
        <v>306600</v>
      </c>
      <c r="Q32" s="981">
        <v>594720</v>
      </c>
      <c r="R32" s="981">
        <v>306600</v>
      </c>
      <c r="S32" s="981">
        <v>306600</v>
      </c>
      <c r="T32" s="981">
        <v>206640</v>
      </c>
      <c r="U32" s="981">
        <v>306600</v>
      </c>
      <c r="V32" s="981">
        <v>306600</v>
      </c>
      <c r="W32" s="981"/>
      <c r="X32" s="981">
        <v>306600</v>
      </c>
    </row>
    <row r="33" spans="1:24" s="37" customFormat="1" ht="36">
      <c r="B33" s="601">
        <v>2.13</v>
      </c>
      <c r="C33" s="602" t="s">
        <v>34</v>
      </c>
      <c r="D33" s="821" t="s">
        <v>518</v>
      </c>
      <c r="E33" s="973">
        <f t="shared" si="1"/>
        <v>20000</v>
      </c>
      <c r="F33" s="973">
        <f t="shared" si="2"/>
        <v>0</v>
      </c>
      <c r="G33" s="981"/>
      <c r="H33" s="982"/>
      <c r="I33" s="982"/>
      <c r="J33" s="982"/>
      <c r="K33" s="982"/>
      <c r="L33" s="973">
        <f t="shared" si="3"/>
        <v>20000</v>
      </c>
      <c r="M33" s="981">
        <v>20000</v>
      </c>
      <c r="N33" s="981"/>
      <c r="O33" s="981"/>
      <c r="P33" s="981"/>
      <c r="Q33" s="981"/>
      <c r="R33" s="981"/>
      <c r="S33" s="981"/>
      <c r="T33" s="981"/>
      <c r="U33" s="981"/>
      <c r="V33" s="981"/>
      <c r="W33" s="981"/>
      <c r="X33" s="981"/>
    </row>
    <row r="34" spans="1:24" s="37" customFormat="1">
      <c r="B34" s="601">
        <v>2.14</v>
      </c>
      <c r="C34" s="602" t="s">
        <v>34</v>
      </c>
      <c r="D34" s="822" t="s">
        <v>519</v>
      </c>
      <c r="E34" s="973">
        <f t="shared" si="1"/>
        <v>8800</v>
      </c>
      <c r="F34" s="973">
        <f t="shared" si="2"/>
        <v>0</v>
      </c>
      <c r="G34" s="981"/>
      <c r="H34" s="982"/>
      <c r="I34" s="982"/>
      <c r="J34" s="982"/>
      <c r="K34" s="982"/>
      <c r="L34" s="973">
        <f t="shared" si="3"/>
        <v>8800</v>
      </c>
      <c r="M34" s="981"/>
      <c r="N34" s="981"/>
      <c r="O34" s="981"/>
      <c r="P34" s="981"/>
      <c r="Q34" s="981"/>
      <c r="R34" s="981"/>
      <c r="S34" s="981"/>
      <c r="T34" s="981"/>
      <c r="U34" s="981"/>
      <c r="V34" s="981">
        <v>8800</v>
      </c>
      <c r="W34" s="981"/>
      <c r="X34" s="981"/>
    </row>
    <row r="35" spans="1:24" s="603" customFormat="1">
      <c r="A35" s="603" t="s">
        <v>808</v>
      </c>
      <c r="B35" s="598" t="s">
        <v>580</v>
      </c>
      <c r="C35" s="599" t="s">
        <v>34</v>
      </c>
      <c r="D35" s="816" t="s">
        <v>31</v>
      </c>
      <c r="E35" s="976">
        <f t="shared" si="1"/>
        <v>141796</v>
      </c>
      <c r="F35" s="976">
        <f t="shared" si="2"/>
        <v>52400</v>
      </c>
      <c r="G35" s="977">
        <f>SUM(G36:G46)</f>
        <v>52400</v>
      </c>
      <c r="H35" s="978">
        <f t="shared" ref="H35:X35" si="7">SUM(H36:H46)</f>
        <v>0</v>
      </c>
      <c r="I35" s="978">
        <f t="shared" si="7"/>
        <v>0</v>
      </c>
      <c r="J35" s="978">
        <f t="shared" si="7"/>
        <v>0</v>
      </c>
      <c r="K35" s="978">
        <f t="shared" si="7"/>
        <v>0</v>
      </c>
      <c r="L35" s="976">
        <f t="shared" si="3"/>
        <v>89396</v>
      </c>
      <c r="M35" s="977">
        <f t="shared" si="7"/>
        <v>29280</v>
      </c>
      <c r="N35" s="977">
        <f t="shared" si="7"/>
        <v>14500</v>
      </c>
      <c r="O35" s="977">
        <f t="shared" si="7"/>
        <v>7080</v>
      </c>
      <c r="P35" s="977">
        <f t="shared" si="7"/>
        <v>0</v>
      </c>
      <c r="Q35" s="977">
        <f t="shared" si="7"/>
        <v>38536</v>
      </c>
      <c r="R35" s="977">
        <f t="shared" si="7"/>
        <v>0</v>
      </c>
      <c r="S35" s="977">
        <f t="shared" si="7"/>
        <v>0</v>
      </c>
      <c r="T35" s="977">
        <f t="shared" si="7"/>
        <v>0</v>
      </c>
      <c r="U35" s="977">
        <f t="shared" si="7"/>
        <v>0</v>
      </c>
      <c r="V35" s="977">
        <f t="shared" si="7"/>
        <v>0</v>
      </c>
      <c r="W35" s="977">
        <f t="shared" si="7"/>
        <v>0</v>
      </c>
      <c r="X35" s="977">
        <f t="shared" si="7"/>
        <v>0</v>
      </c>
    </row>
    <row r="36" spans="1:24" s="37" customFormat="1">
      <c r="B36" s="604">
        <v>3.1</v>
      </c>
      <c r="C36" s="605" t="s">
        <v>34</v>
      </c>
      <c r="D36" s="818" t="s">
        <v>96</v>
      </c>
      <c r="E36" s="973">
        <f t="shared" si="1"/>
        <v>75620</v>
      </c>
      <c r="F36" s="973">
        <f t="shared" si="2"/>
        <v>36000</v>
      </c>
      <c r="G36" s="981">
        <v>36000</v>
      </c>
      <c r="H36" s="982"/>
      <c r="I36" s="982"/>
      <c r="J36" s="982"/>
      <c r="K36" s="982"/>
      <c r="L36" s="973">
        <f t="shared" si="3"/>
        <v>39620</v>
      </c>
      <c r="M36" s="981">
        <v>24780</v>
      </c>
      <c r="N36" s="981">
        <v>2000</v>
      </c>
      <c r="O36" s="981">
        <v>1280</v>
      </c>
      <c r="P36" s="981"/>
      <c r="Q36" s="981">
        <v>11560</v>
      </c>
      <c r="R36" s="981"/>
      <c r="S36" s="981"/>
      <c r="T36" s="981"/>
      <c r="U36" s="981"/>
      <c r="V36" s="981"/>
      <c r="W36" s="981"/>
      <c r="X36" s="981"/>
    </row>
    <row r="37" spans="1:24" s="37" customFormat="1">
      <c r="B37" s="604">
        <v>3.2</v>
      </c>
      <c r="C37" s="605" t="s">
        <v>34</v>
      </c>
      <c r="D37" s="819" t="s">
        <v>218</v>
      </c>
      <c r="E37" s="973">
        <f t="shared" si="1"/>
        <v>16200</v>
      </c>
      <c r="F37" s="973">
        <f t="shared" si="2"/>
        <v>0</v>
      </c>
      <c r="G37" s="981"/>
      <c r="H37" s="982"/>
      <c r="I37" s="982"/>
      <c r="J37" s="982"/>
      <c r="K37" s="982"/>
      <c r="L37" s="973">
        <f t="shared" si="3"/>
        <v>16200</v>
      </c>
      <c r="M37" s="981"/>
      <c r="N37" s="981">
        <v>5000</v>
      </c>
      <c r="O37" s="981">
        <v>1200</v>
      </c>
      <c r="P37" s="981"/>
      <c r="Q37" s="981">
        <v>10000</v>
      </c>
      <c r="R37" s="981"/>
      <c r="S37" s="981"/>
      <c r="T37" s="981"/>
      <c r="U37" s="981"/>
      <c r="V37" s="981"/>
      <c r="W37" s="981"/>
      <c r="X37" s="981"/>
    </row>
    <row r="38" spans="1:24" s="37" customFormat="1">
      <c r="B38" s="604">
        <v>3.3</v>
      </c>
      <c r="C38" s="605" t="s">
        <v>34</v>
      </c>
      <c r="D38" s="819" t="s">
        <v>219</v>
      </c>
      <c r="E38" s="973">
        <f t="shared" si="1"/>
        <v>5200</v>
      </c>
      <c r="F38" s="973">
        <f t="shared" si="2"/>
        <v>0</v>
      </c>
      <c r="G38" s="981"/>
      <c r="H38" s="982"/>
      <c r="I38" s="982"/>
      <c r="J38" s="982"/>
      <c r="K38" s="982"/>
      <c r="L38" s="973">
        <f t="shared" si="3"/>
        <v>5200</v>
      </c>
      <c r="M38" s="981"/>
      <c r="N38" s="981">
        <v>1000</v>
      </c>
      <c r="O38" s="981">
        <v>200</v>
      </c>
      <c r="P38" s="981"/>
      <c r="Q38" s="981">
        <v>4000</v>
      </c>
      <c r="R38" s="981"/>
      <c r="S38" s="981"/>
      <c r="T38" s="981"/>
      <c r="U38" s="981"/>
      <c r="V38" s="981"/>
      <c r="W38" s="981"/>
      <c r="X38" s="981"/>
    </row>
    <row r="39" spans="1:24" s="37" customFormat="1">
      <c r="B39" s="604">
        <v>3.4</v>
      </c>
      <c r="C39" s="605" t="s">
        <v>34</v>
      </c>
      <c r="D39" s="819" t="s">
        <v>220</v>
      </c>
      <c r="E39" s="973">
        <f t="shared" si="1"/>
        <v>9400</v>
      </c>
      <c r="F39" s="973">
        <f t="shared" si="2"/>
        <v>0</v>
      </c>
      <c r="G39" s="981"/>
      <c r="H39" s="982"/>
      <c r="I39" s="982"/>
      <c r="J39" s="982"/>
      <c r="K39" s="982"/>
      <c r="L39" s="973">
        <f t="shared" si="3"/>
        <v>9400</v>
      </c>
      <c r="M39" s="981"/>
      <c r="N39" s="981">
        <v>2500</v>
      </c>
      <c r="O39" s="981">
        <v>2400</v>
      </c>
      <c r="P39" s="981"/>
      <c r="Q39" s="981">
        <v>4500</v>
      </c>
      <c r="R39" s="981"/>
      <c r="S39" s="981"/>
      <c r="T39" s="981"/>
      <c r="U39" s="981"/>
      <c r="V39" s="981"/>
      <c r="W39" s="981"/>
      <c r="X39" s="981"/>
    </row>
    <row r="40" spans="1:24" s="37" customFormat="1" ht="36">
      <c r="B40" s="604">
        <v>3.5</v>
      </c>
      <c r="C40" s="605" t="s">
        <v>34</v>
      </c>
      <c r="D40" s="819" t="s">
        <v>221</v>
      </c>
      <c r="E40" s="973">
        <f t="shared" si="1"/>
        <v>6900</v>
      </c>
      <c r="F40" s="973">
        <f t="shared" si="2"/>
        <v>0</v>
      </c>
      <c r="G40" s="981"/>
      <c r="H40" s="982"/>
      <c r="I40" s="982"/>
      <c r="J40" s="982"/>
      <c r="K40" s="982"/>
      <c r="L40" s="973">
        <f t="shared" si="3"/>
        <v>6900</v>
      </c>
      <c r="M40" s="981"/>
      <c r="N40" s="981">
        <v>2500</v>
      </c>
      <c r="O40" s="981">
        <v>2000</v>
      </c>
      <c r="P40" s="981"/>
      <c r="Q40" s="981">
        <v>2400</v>
      </c>
      <c r="R40" s="981"/>
      <c r="S40" s="981"/>
      <c r="T40" s="981"/>
      <c r="U40" s="981"/>
      <c r="V40" s="981"/>
      <c r="W40" s="981"/>
      <c r="X40" s="981"/>
    </row>
    <row r="41" spans="1:24" s="37" customFormat="1">
      <c r="B41" s="604">
        <v>3.7</v>
      </c>
      <c r="C41" s="605" t="s">
        <v>34</v>
      </c>
      <c r="D41" s="819" t="s">
        <v>290</v>
      </c>
      <c r="E41" s="973">
        <f t="shared" si="1"/>
        <v>1700</v>
      </c>
      <c r="F41" s="973">
        <f t="shared" si="2"/>
        <v>0</v>
      </c>
      <c r="G41" s="981"/>
      <c r="H41" s="982"/>
      <c r="I41" s="982"/>
      <c r="J41" s="982"/>
      <c r="K41" s="982"/>
      <c r="L41" s="973">
        <f t="shared" si="3"/>
        <v>1700</v>
      </c>
      <c r="M41" s="981"/>
      <c r="N41" s="981">
        <v>1000</v>
      </c>
      <c r="O41" s="981"/>
      <c r="P41" s="981"/>
      <c r="Q41" s="981">
        <v>700</v>
      </c>
      <c r="R41" s="981"/>
      <c r="S41" s="981"/>
      <c r="T41" s="981"/>
      <c r="U41" s="981"/>
      <c r="V41" s="981"/>
      <c r="W41" s="981"/>
      <c r="X41" s="981"/>
    </row>
    <row r="42" spans="1:24">
      <c r="B42" s="604">
        <v>3.9</v>
      </c>
      <c r="C42" s="605" t="s">
        <v>34</v>
      </c>
      <c r="D42" s="819" t="s">
        <v>291</v>
      </c>
      <c r="E42" s="973">
        <f t="shared" si="1"/>
        <v>8900</v>
      </c>
      <c r="F42" s="973">
        <f t="shared" si="2"/>
        <v>8400</v>
      </c>
      <c r="G42" s="981">
        <v>8400</v>
      </c>
      <c r="H42" s="982"/>
      <c r="I42" s="982"/>
      <c r="J42" s="982"/>
      <c r="K42" s="982"/>
      <c r="L42" s="973">
        <f t="shared" si="3"/>
        <v>500</v>
      </c>
      <c r="M42" s="981"/>
      <c r="N42" s="981">
        <v>500</v>
      </c>
      <c r="O42" s="981"/>
      <c r="P42" s="981"/>
      <c r="Q42" s="981"/>
      <c r="R42" s="981"/>
      <c r="S42" s="981"/>
      <c r="T42" s="981"/>
      <c r="U42" s="981"/>
      <c r="V42" s="981"/>
      <c r="W42" s="981"/>
      <c r="X42" s="981"/>
    </row>
    <row r="43" spans="1:24">
      <c r="B43" s="604">
        <v>3.1</v>
      </c>
      <c r="C43" s="605" t="s">
        <v>34</v>
      </c>
      <c r="D43" s="819" t="s">
        <v>92</v>
      </c>
      <c r="E43" s="973">
        <f t="shared" si="1"/>
        <v>4500</v>
      </c>
      <c r="F43" s="973">
        <f t="shared" si="2"/>
        <v>0</v>
      </c>
      <c r="G43" s="986"/>
      <c r="H43" s="987"/>
      <c r="I43" s="987"/>
      <c r="J43" s="987"/>
      <c r="K43" s="987"/>
      <c r="L43" s="973">
        <f t="shared" si="3"/>
        <v>4500</v>
      </c>
      <c r="M43" s="986">
        <v>4500</v>
      </c>
      <c r="N43" s="986"/>
      <c r="O43" s="986"/>
      <c r="P43" s="986"/>
      <c r="Q43" s="986"/>
      <c r="R43" s="986"/>
      <c r="S43" s="986"/>
      <c r="T43" s="986"/>
      <c r="U43" s="986"/>
      <c r="V43" s="986"/>
      <c r="W43" s="986"/>
      <c r="X43" s="986"/>
    </row>
    <row r="44" spans="1:24" ht="24">
      <c r="B44" s="604">
        <v>3.11</v>
      </c>
      <c r="C44" s="605" t="s">
        <v>34</v>
      </c>
      <c r="D44" s="818" t="s">
        <v>641</v>
      </c>
      <c r="E44" s="973">
        <f t="shared" si="1"/>
        <v>1200</v>
      </c>
      <c r="F44" s="973">
        <f t="shared" si="2"/>
        <v>0</v>
      </c>
      <c r="G44" s="986"/>
      <c r="H44" s="987"/>
      <c r="I44" s="987"/>
      <c r="J44" s="987"/>
      <c r="K44" s="987"/>
      <c r="L44" s="973">
        <f t="shared" si="3"/>
        <v>1200</v>
      </c>
      <c r="M44" s="986"/>
      <c r="N44" s="986"/>
      <c r="O44" s="986"/>
      <c r="P44" s="986"/>
      <c r="Q44" s="986">
        <v>1200</v>
      </c>
      <c r="R44" s="986"/>
      <c r="S44" s="986"/>
      <c r="T44" s="986"/>
      <c r="U44" s="986"/>
      <c r="V44" s="986"/>
      <c r="W44" s="986"/>
      <c r="X44" s="986"/>
    </row>
    <row r="45" spans="1:24" ht="24">
      <c r="B45" s="604">
        <v>3.12</v>
      </c>
      <c r="C45" s="605" t="s">
        <v>34</v>
      </c>
      <c r="D45" s="819" t="s">
        <v>521</v>
      </c>
      <c r="E45" s="973">
        <f t="shared" si="1"/>
        <v>4176</v>
      </c>
      <c r="F45" s="973">
        <f t="shared" si="2"/>
        <v>0</v>
      </c>
      <c r="G45" s="986"/>
      <c r="H45" s="987"/>
      <c r="I45" s="987"/>
      <c r="J45" s="987"/>
      <c r="K45" s="987"/>
      <c r="L45" s="973">
        <f t="shared" si="3"/>
        <v>4176</v>
      </c>
      <c r="M45" s="986"/>
      <c r="N45" s="986"/>
      <c r="O45" s="986"/>
      <c r="P45" s="986"/>
      <c r="Q45" s="986">
        <v>4176</v>
      </c>
      <c r="R45" s="986"/>
      <c r="S45" s="986"/>
      <c r="T45" s="986"/>
      <c r="U45" s="986"/>
      <c r="V45" s="986"/>
      <c r="W45" s="986"/>
      <c r="X45" s="986"/>
    </row>
    <row r="46" spans="1:24" ht="24">
      <c r="B46" s="604">
        <v>3.13</v>
      </c>
      <c r="C46" s="605" t="s">
        <v>34</v>
      </c>
      <c r="D46" s="819" t="s">
        <v>522</v>
      </c>
      <c r="E46" s="973">
        <f t="shared" si="1"/>
        <v>8000</v>
      </c>
      <c r="F46" s="973">
        <f t="shared" si="2"/>
        <v>8000</v>
      </c>
      <c r="G46" s="986">
        <v>8000</v>
      </c>
      <c r="H46" s="987"/>
      <c r="I46" s="987"/>
      <c r="J46" s="987"/>
      <c r="K46" s="987"/>
      <c r="L46" s="973">
        <f t="shared" si="3"/>
        <v>0</v>
      </c>
      <c r="M46" s="986"/>
      <c r="N46" s="986"/>
      <c r="O46" s="986"/>
      <c r="P46" s="986"/>
      <c r="Q46" s="986"/>
      <c r="R46" s="986"/>
      <c r="S46" s="986"/>
      <c r="T46" s="986"/>
      <c r="U46" s="986"/>
      <c r="V46" s="986"/>
      <c r="W46" s="986"/>
      <c r="X46" s="986"/>
    </row>
    <row r="47" spans="1:24" s="13" customFormat="1" ht="36">
      <c r="A47" s="13" t="s">
        <v>809</v>
      </c>
      <c r="B47" s="600" t="s">
        <v>581</v>
      </c>
      <c r="C47" s="599" t="s">
        <v>34</v>
      </c>
      <c r="D47" s="816" t="s">
        <v>223</v>
      </c>
      <c r="E47" s="976">
        <f t="shared" si="1"/>
        <v>199670</v>
      </c>
      <c r="F47" s="976">
        <f t="shared" si="2"/>
        <v>75000</v>
      </c>
      <c r="G47" s="977">
        <f>SUM(G48:G51)</f>
        <v>75000</v>
      </c>
      <c r="H47" s="978">
        <f t="shared" ref="H47:X47" si="8">SUM(H48:H51)</f>
        <v>0</v>
      </c>
      <c r="I47" s="978">
        <f t="shared" si="8"/>
        <v>0</v>
      </c>
      <c r="J47" s="978">
        <f t="shared" si="8"/>
        <v>0</v>
      </c>
      <c r="K47" s="978">
        <f t="shared" si="8"/>
        <v>0</v>
      </c>
      <c r="L47" s="976">
        <f t="shared" si="3"/>
        <v>124670</v>
      </c>
      <c r="M47" s="977">
        <f t="shared" si="8"/>
        <v>0</v>
      </c>
      <c r="N47" s="977">
        <f t="shared" si="8"/>
        <v>0</v>
      </c>
      <c r="O47" s="977">
        <f t="shared" si="8"/>
        <v>0</v>
      </c>
      <c r="P47" s="977">
        <f t="shared" si="8"/>
        <v>0</v>
      </c>
      <c r="Q47" s="977">
        <f t="shared" si="8"/>
        <v>124670</v>
      </c>
      <c r="R47" s="977">
        <f t="shared" si="8"/>
        <v>0</v>
      </c>
      <c r="S47" s="977">
        <f t="shared" si="8"/>
        <v>0</v>
      </c>
      <c r="T47" s="977">
        <f t="shared" si="8"/>
        <v>0</v>
      </c>
      <c r="U47" s="977">
        <f t="shared" si="8"/>
        <v>0</v>
      </c>
      <c r="V47" s="977">
        <f t="shared" si="8"/>
        <v>0</v>
      </c>
      <c r="W47" s="977">
        <f t="shared" si="8"/>
        <v>0</v>
      </c>
      <c r="X47" s="977">
        <f t="shared" si="8"/>
        <v>0</v>
      </c>
    </row>
    <row r="48" spans="1:24" s="38" customFormat="1" ht="84">
      <c r="B48" s="606">
        <v>1</v>
      </c>
      <c r="C48" s="602" t="s">
        <v>34</v>
      </c>
      <c r="D48" s="817" t="s">
        <v>321</v>
      </c>
      <c r="E48" s="973">
        <f t="shared" si="1"/>
        <v>12900</v>
      </c>
      <c r="F48" s="973">
        <f t="shared" si="2"/>
        <v>10000</v>
      </c>
      <c r="G48" s="988">
        <v>10000</v>
      </c>
      <c r="H48" s="982"/>
      <c r="I48" s="982"/>
      <c r="J48" s="982"/>
      <c r="K48" s="982"/>
      <c r="L48" s="973">
        <f t="shared" si="3"/>
        <v>2900</v>
      </c>
      <c r="M48" s="979"/>
      <c r="N48" s="979"/>
      <c r="O48" s="979"/>
      <c r="P48" s="979"/>
      <c r="Q48" s="988">
        <v>2900</v>
      </c>
      <c r="R48" s="979"/>
      <c r="S48" s="979"/>
      <c r="T48" s="979"/>
      <c r="U48" s="979"/>
      <c r="V48" s="981"/>
      <c r="W48" s="979"/>
      <c r="X48" s="979"/>
    </row>
    <row r="49" spans="1:24" s="38" customFormat="1" ht="84">
      <c r="B49" s="606">
        <v>2</v>
      </c>
      <c r="C49" s="602" t="s">
        <v>34</v>
      </c>
      <c r="D49" s="818" t="s">
        <v>642</v>
      </c>
      <c r="E49" s="973">
        <f t="shared" si="1"/>
        <v>50120</v>
      </c>
      <c r="F49" s="973">
        <f t="shared" si="2"/>
        <v>45000</v>
      </c>
      <c r="G49" s="988">
        <v>45000</v>
      </c>
      <c r="H49" s="982"/>
      <c r="I49" s="982"/>
      <c r="J49" s="982"/>
      <c r="K49" s="982"/>
      <c r="L49" s="973">
        <f t="shared" si="3"/>
        <v>5120</v>
      </c>
      <c r="M49" s="979"/>
      <c r="N49" s="979"/>
      <c r="O49" s="979"/>
      <c r="P49" s="979"/>
      <c r="Q49" s="989">
        <v>5120</v>
      </c>
      <c r="R49" s="979"/>
      <c r="S49" s="979"/>
      <c r="T49" s="979"/>
      <c r="U49" s="979"/>
      <c r="V49" s="981"/>
      <c r="W49" s="979"/>
      <c r="X49" s="979"/>
    </row>
    <row r="50" spans="1:24" s="8" customFormat="1" ht="72">
      <c r="B50" s="606">
        <v>3</v>
      </c>
      <c r="C50" s="602" t="s">
        <v>34</v>
      </c>
      <c r="D50" s="818" t="s">
        <v>627</v>
      </c>
      <c r="E50" s="973"/>
      <c r="F50" s="973"/>
      <c r="G50" s="988"/>
      <c r="H50" s="982"/>
      <c r="I50" s="982"/>
      <c r="J50" s="982"/>
      <c r="K50" s="982"/>
      <c r="L50" s="973"/>
      <c r="M50" s="981"/>
      <c r="N50" s="981"/>
      <c r="O50" s="981"/>
      <c r="P50" s="981"/>
      <c r="Q50" s="981"/>
      <c r="R50" s="981"/>
      <c r="S50" s="981"/>
      <c r="T50" s="981"/>
      <c r="U50" s="981"/>
      <c r="V50" s="981"/>
      <c r="W50" s="981"/>
      <c r="X50" s="981"/>
    </row>
    <row r="51" spans="1:24" s="8" customFormat="1" ht="60">
      <c r="B51" s="606">
        <v>4</v>
      </c>
      <c r="C51" s="602" t="s">
        <v>34</v>
      </c>
      <c r="D51" s="817" t="s">
        <v>618</v>
      </c>
      <c r="E51" s="973">
        <f t="shared" si="1"/>
        <v>136650</v>
      </c>
      <c r="F51" s="973">
        <f t="shared" si="2"/>
        <v>20000</v>
      </c>
      <c r="G51" s="988">
        <v>20000</v>
      </c>
      <c r="H51" s="982"/>
      <c r="I51" s="982"/>
      <c r="J51" s="982"/>
      <c r="K51" s="982"/>
      <c r="L51" s="973">
        <f t="shared" si="3"/>
        <v>116650</v>
      </c>
      <c r="M51" s="979"/>
      <c r="N51" s="979"/>
      <c r="O51" s="979"/>
      <c r="P51" s="979"/>
      <c r="Q51" s="988">
        <v>116650</v>
      </c>
      <c r="R51" s="979"/>
      <c r="S51" s="979"/>
      <c r="T51" s="979"/>
      <c r="U51" s="979"/>
      <c r="V51" s="981"/>
      <c r="W51" s="979"/>
      <c r="X51" s="979"/>
    </row>
    <row r="52" spans="1:24" s="5" customFormat="1" ht="36">
      <c r="A52" s="5">
        <v>2</v>
      </c>
      <c r="B52" s="597">
        <v>2</v>
      </c>
      <c r="C52" s="596" t="s">
        <v>34</v>
      </c>
      <c r="D52" s="823" t="s">
        <v>234</v>
      </c>
      <c r="E52" s="990">
        <f t="shared" si="1"/>
        <v>7122660.6459999997</v>
      </c>
      <c r="F52" s="990">
        <f t="shared" si="2"/>
        <v>1698980</v>
      </c>
      <c r="G52" s="974">
        <f>G53+G78+G97+G118</f>
        <v>1698980</v>
      </c>
      <c r="H52" s="975">
        <f t="shared" ref="H52:X52" si="9">H53+H78+H97+H118</f>
        <v>0</v>
      </c>
      <c r="I52" s="975">
        <f t="shared" si="9"/>
        <v>0</v>
      </c>
      <c r="J52" s="975">
        <f t="shared" si="9"/>
        <v>0</v>
      </c>
      <c r="K52" s="975">
        <f t="shared" si="9"/>
        <v>0</v>
      </c>
      <c r="L52" s="990">
        <f t="shared" si="3"/>
        <v>5423680.6459999997</v>
      </c>
      <c r="M52" s="974">
        <f t="shared" si="9"/>
        <v>494354</v>
      </c>
      <c r="N52" s="974">
        <f t="shared" si="9"/>
        <v>76240</v>
      </c>
      <c r="O52" s="974">
        <f t="shared" si="9"/>
        <v>76222</v>
      </c>
      <c r="P52" s="974">
        <f t="shared" si="9"/>
        <v>285187</v>
      </c>
      <c r="Q52" s="974">
        <f t="shared" si="9"/>
        <v>407340</v>
      </c>
      <c r="R52" s="974">
        <f t="shared" si="9"/>
        <v>71733</v>
      </c>
      <c r="S52" s="974">
        <f t="shared" si="9"/>
        <v>499977.64600000001</v>
      </c>
      <c r="T52" s="974">
        <f t="shared" si="9"/>
        <v>312822</v>
      </c>
      <c r="U52" s="974">
        <f t="shared" si="9"/>
        <v>537295</v>
      </c>
      <c r="V52" s="974">
        <f t="shared" si="9"/>
        <v>227830</v>
      </c>
      <c r="W52" s="974">
        <f t="shared" si="9"/>
        <v>240610</v>
      </c>
      <c r="X52" s="974">
        <f t="shared" si="9"/>
        <v>2194070</v>
      </c>
    </row>
    <row r="53" spans="1:24" s="13" customFormat="1" ht="24">
      <c r="A53" s="13" t="s">
        <v>806</v>
      </c>
      <c r="B53" s="607" t="s">
        <v>251</v>
      </c>
      <c r="C53" s="599" t="s">
        <v>34</v>
      </c>
      <c r="D53" s="824" t="s">
        <v>18</v>
      </c>
      <c r="E53" s="976">
        <f t="shared" si="1"/>
        <v>3451727.6459999997</v>
      </c>
      <c r="F53" s="976">
        <f t="shared" si="2"/>
        <v>594000</v>
      </c>
      <c r="G53" s="977">
        <f>SUM(G54:G77)</f>
        <v>594000</v>
      </c>
      <c r="H53" s="978">
        <f t="shared" ref="H53:X53" si="10">SUM(H54:H77)</f>
        <v>0</v>
      </c>
      <c r="I53" s="978">
        <f t="shared" si="10"/>
        <v>0</v>
      </c>
      <c r="J53" s="978">
        <f t="shared" si="10"/>
        <v>0</v>
      </c>
      <c r="K53" s="978">
        <f t="shared" si="10"/>
        <v>0</v>
      </c>
      <c r="L53" s="976">
        <f t="shared" si="3"/>
        <v>2857727.6459999997</v>
      </c>
      <c r="M53" s="977">
        <f t="shared" si="10"/>
        <v>450191</v>
      </c>
      <c r="N53" s="977">
        <f t="shared" si="10"/>
        <v>23362</v>
      </c>
      <c r="O53" s="977">
        <f t="shared" si="10"/>
        <v>26265</v>
      </c>
      <c r="P53" s="977">
        <f t="shared" si="10"/>
        <v>17012</v>
      </c>
      <c r="Q53" s="977">
        <f t="shared" si="10"/>
        <v>152180</v>
      </c>
      <c r="R53" s="977">
        <f t="shared" si="10"/>
        <v>10110</v>
      </c>
      <c r="S53" s="977">
        <f t="shared" si="10"/>
        <v>61967.646000000001</v>
      </c>
      <c r="T53" s="977">
        <f t="shared" si="10"/>
        <v>14130</v>
      </c>
      <c r="U53" s="977">
        <f t="shared" si="10"/>
        <v>37210</v>
      </c>
      <c r="V53" s="977">
        <f t="shared" si="10"/>
        <v>51050</v>
      </c>
      <c r="W53" s="977">
        <f t="shared" si="10"/>
        <v>5640</v>
      </c>
      <c r="X53" s="977">
        <f t="shared" si="10"/>
        <v>2008610</v>
      </c>
    </row>
    <row r="54" spans="1:24" s="10" customFormat="1" ht="48">
      <c r="B54" s="606">
        <v>1</v>
      </c>
      <c r="C54" s="602" t="s">
        <v>34</v>
      </c>
      <c r="D54" s="825" t="s">
        <v>643</v>
      </c>
      <c r="E54" s="973"/>
      <c r="F54" s="973"/>
      <c r="G54" s="979"/>
      <c r="H54" s="991"/>
      <c r="I54" s="991"/>
      <c r="J54" s="991"/>
      <c r="K54" s="991"/>
      <c r="L54" s="973"/>
      <c r="M54" s="979"/>
      <c r="N54" s="979"/>
      <c r="O54" s="979"/>
      <c r="P54" s="979"/>
      <c r="Q54" s="979"/>
      <c r="R54" s="979"/>
      <c r="S54" s="979"/>
      <c r="T54" s="979"/>
      <c r="U54" s="979"/>
      <c r="V54" s="979"/>
      <c r="W54" s="979"/>
      <c r="X54" s="979"/>
    </row>
    <row r="55" spans="1:24" s="10" customFormat="1" ht="60">
      <c r="B55" s="606">
        <v>2</v>
      </c>
      <c r="C55" s="602" t="s">
        <v>34</v>
      </c>
      <c r="D55" s="825" t="s">
        <v>644</v>
      </c>
      <c r="E55" s="973">
        <f t="shared" si="1"/>
        <v>194970</v>
      </c>
      <c r="F55" s="973">
        <f t="shared" si="2"/>
        <v>94000</v>
      </c>
      <c r="G55" s="979">
        <v>94000</v>
      </c>
      <c r="H55" s="991"/>
      <c r="I55" s="991"/>
      <c r="J55" s="991"/>
      <c r="K55" s="991"/>
      <c r="L55" s="973">
        <f t="shared" si="3"/>
        <v>100970</v>
      </c>
      <c r="M55" s="979"/>
      <c r="N55" s="979">
        <v>5000</v>
      </c>
      <c r="O55" s="979"/>
      <c r="P55" s="979">
        <v>1040</v>
      </c>
      <c r="Q55" s="979"/>
      <c r="R55" s="979">
        <v>8640</v>
      </c>
      <c r="S55" s="979">
        <v>32460</v>
      </c>
      <c r="T55" s="979">
        <v>9970</v>
      </c>
      <c r="U55" s="979">
        <v>12760</v>
      </c>
      <c r="V55" s="979">
        <v>25200</v>
      </c>
      <c r="W55" s="979">
        <v>1440</v>
      </c>
      <c r="X55" s="979">
        <v>4460</v>
      </c>
    </row>
    <row r="56" spans="1:24" s="8" customFormat="1" ht="36">
      <c r="B56" s="606">
        <v>3</v>
      </c>
      <c r="C56" s="602" t="s">
        <v>34</v>
      </c>
      <c r="D56" s="826" t="s">
        <v>388</v>
      </c>
      <c r="E56" s="973">
        <f t="shared" si="1"/>
        <v>50000</v>
      </c>
      <c r="F56" s="973">
        <f t="shared" si="2"/>
        <v>30000</v>
      </c>
      <c r="G56" s="979">
        <v>30000</v>
      </c>
      <c r="H56" s="980"/>
      <c r="I56" s="980"/>
      <c r="J56" s="980"/>
      <c r="K56" s="980"/>
      <c r="L56" s="973">
        <f t="shared" si="3"/>
        <v>20000</v>
      </c>
      <c r="M56" s="979"/>
      <c r="N56" s="979"/>
      <c r="O56" s="979"/>
      <c r="P56" s="979"/>
      <c r="Q56" s="979">
        <v>20000</v>
      </c>
      <c r="R56" s="979"/>
      <c r="S56" s="979"/>
      <c r="T56" s="979"/>
      <c r="U56" s="979"/>
      <c r="V56" s="979"/>
      <c r="W56" s="979"/>
      <c r="X56" s="979"/>
    </row>
    <row r="57" spans="1:24" s="8" customFormat="1" ht="60">
      <c r="B57" s="606">
        <v>4</v>
      </c>
      <c r="C57" s="602" t="s">
        <v>34</v>
      </c>
      <c r="D57" s="826" t="s">
        <v>35</v>
      </c>
      <c r="E57" s="973">
        <f t="shared" si="1"/>
        <v>93580</v>
      </c>
      <c r="F57" s="973">
        <f t="shared" si="2"/>
        <v>17700</v>
      </c>
      <c r="G57" s="981">
        <v>17700</v>
      </c>
      <c r="H57" s="980"/>
      <c r="I57" s="980"/>
      <c r="J57" s="980"/>
      <c r="K57" s="980"/>
      <c r="L57" s="973">
        <f t="shared" si="3"/>
        <v>75880</v>
      </c>
      <c r="M57" s="981">
        <v>10360</v>
      </c>
      <c r="N57" s="981">
        <v>6600</v>
      </c>
      <c r="O57" s="981">
        <v>20740</v>
      </c>
      <c r="P57" s="981">
        <v>4800</v>
      </c>
      <c r="Q57" s="981">
        <v>2180</v>
      </c>
      <c r="R57" s="981">
        <v>1470</v>
      </c>
      <c r="S57" s="981">
        <v>7300</v>
      </c>
      <c r="T57" s="981">
        <v>1620</v>
      </c>
      <c r="U57" s="981">
        <v>12760</v>
      </c>
      <c r="V57" s="981">
        <v>3350</v>
      </c>
      <c r="W57" s="981">
        <v>2400</v>
      </c>
      <c r="X57" s="981">
        <v>2300</v>
      </c>
    </row>
    <row r="58" spans="1:24" s="8" customFormat="1" ht="36">
      <c r="B58" s="606">
        <v>5</v>
      </c>
      <c r="C58" s="602" t="s">
        <v>34</v>
      </c>
      <c r="D58" s="826" t="s">
        <v>389</v>
      </c>
      <c r="E58" s="973">
        <f t="shared" si="1"/>
        <v>29823.3</v>
      </c>
      <c r="F58" s="973">
        <f t="shared" si="2"/>
        <v>3650</v>
      </c>
      <c r="G58" s="981">
        <v>3650</v>
      </c>
      <c r="H58" s="980"/>
      <c r="I58" s="980"/>
      <c r="J58" s="980"/>
      <c r="K58" s="980"/>
      <c r="L58" s="973">
        <f t="shared" si="3"/>
        <v>26173.3</v>
      </c>
      <c r="M58" s="981"/>
      <c r="N58" s="981">
        <v>2000</v>
      </c>
      <c r="O58" s="981"/>
      <c r="P58" s="981">
        <v>2772</v>
      </c>
      <c r="Q58" s="981"/>
      <c r="R58" s="981"/>
      <c r="S58" s="981">
        <v>17851.3</v>
      </c>
      <c r="T58" s="981"/>
      <c r="U58" s="981">
        <v>250</v>
      </c>
      <c r="V58" s="981">
        <v>500</v>
      </c>
      <c r="W58" s="981">
        <v>1800</v>
      </c>
      <c r="X58" s="981">
        <v>1000</v>
      </c>
    </row>
    <row r="59" spans="1:24" s="8" customFormat="1" ht="36">
      <c r="B59" s="606">
        <v>6</v>
      </c>
      <c r="C59" s="602" t="s">
        <v>34</v>
      </c>
      <c r="D59" s="827" t="s">
        <v>645</v>
      </c>
      <c r="E59" s="973">
        <f t="shared" si="1"/>
        <v>27175</v>
      </c>
      <c r="F59" s="973">
        <f t="shared" si="2"/>
        <v>3650</v>
      </c>
      <c r="G59" s="981">
        <v>3650</v>
      </c>
      <c r="H59" s="980"/>
      <c r="I59" s="980"/>
      <c r="J59" s="980"/>
      <c r="K59" s="980"/>
      <c r="L59" s="973">
        <f t="shared" si="3"/>
        <v>23525</v>
      </c>
      <c r="M59" s="981">
        <v>505</v>
      </c>
      <c r="N59" s="981">
        <v>500</v>
      </c>
      <c r="O59" s="981">
        <v>3300</v>
      </c>
      <c r="P59" s="981">
        <v>6400</v>
      </c>
      <c r="Q59" s="981"/>
      <c r="R59" s="981"/>
      <c r="S59" s="981"/>
      <c r="T59" s="981">
        <v>820</v>
      </c>
      <c r="U59" s="981">
        <v>2000</v>
      </c>
      <c r="V59" s="981">
        <v>10000</v>
      </c>
      <c r="W59" s="981"/>
      <c r="X59" s="981"/>
    </row>
    <row r="60" spans="1:24" s="8" customFormat="1" ht="36">
      <c r="B60" s="606">
        <v>7</v>
      </c>
      <c r="C60" s="602" t="s">
        <v>34</v>
      </c>
      <c r="D60" s="826" t="s">
        <v>646</v>
      </c>
      <c r="E60" s="973">
        <f t="shared" si="1"/>
        <v>2006800</v>
      </c>
      <c r="F60" s="973">
        <f t="shared" si="2"/>
        <v>5000</v>
      </c>
      <c r="G60" s="981">
        <v>5000</v>
      </c>
      <c r="H60" s="980"/>
      <c r="I60" s="980"/>
      <c r="J60" s="980"/>
      <c r="K60" s="980"/>
      <c r="L60" s="973">
        <f t="shared" si="3"/>
        <v>2001800</v>
      </c>
      <c r="M60" s="981"/>
      <c r="N60" s="981">
        <v>1800</v>
      </c>
      <c r="O60" s="981"/>
      <c r="P60" s="981"/>
      <c r="Q60" s="981"/>
      <c r="R60" s="981"/>
      <c r="S60" s="981"/>
      <c r="T60" s="981"/>
      <c r="U60" s="981"/>
      <c r="V60" s="981"/>
      <c r="W60" s="981"/>
      <c r="X60" s="981">
        <v>2000000</v>
      </c>
    </row>
    <row r="61" spans="1:24" s="8" customFormat="1" ht="84">
      <c r="B61" s="606">
        <v>8</v>
      </c>
      <c r="C61" s="602" t="s">
        <v>34</v>
      </c>
      <c r="D61" s="828" t="s">
        <v>647</v>
      </c>
      <c r="E61" s="973"/>
      <c r="F61" s="973"/>
      <c r="G61" s="981"/>
      <c r="H61" s="980"/>
      <c r="I61" s="980"/>
      <c r="J61" s="980"/>
      <c r="K61" s="980"/>
      <c r="L61" s="973"/>
      <c r="M61" s="981"/>
      <c r="N61" s="981"/>
      <c r="O61" s="981"/>
      <c r="P61" s="981"/>
      <c r="Q61" s="981"/>
      <c r="R61" s="981"/>
      <c r="S61" s="981"/>
      <c r="T61" s="981"/>
      <c r="U61" s="981"/>
      <c r="V61" s="981"/>
      <c r="W61" s="981"/>
      <c r="X61" s="981"/>
    </row>
    <row r="62" spans="1:24" s="8" customFormat="1" ht="48">
      <c r="B62" s="606">
        <v>9</v>
      </c>
      <c r="C62" s="602" t="s">
        <v>34</v>
      </c>
      <c r="D62" s="828" t="s">
        <v>40</v>
      </c>
      <c r="E62" s="973"/>
      <c r="F62" s="973"/>
      <c r="G62" s="981"/>
      <c r="H62" s="980"/>
      <c r="I62" s="980"/>
      <c r="J62" s="980"/>
      <c r="K62" s="980"/>
      <c r="L62" s="973"/>
      <c r="M62" s="981"/>
      <c r="N62" s="981"/>
      <c r="O62" s="981"/>
      <c r="P62" s="981"/>
      <c r="Q62" s="981"/>
      <c r="R62" s="981"/>
      <c r="S62" s="981"/>
      <c r="T62" s="981"/>
      <c r="U62" s="981"/>
      <c r="V62" s="981"/>
      <c r="W62" s="981"/>
      <c r="X62" s="981"/>
    </row>
    <row r="63" spans="1:24" s="8" customFormat="1" ht="84">
      <c r="B63" s="606">
        <v>10</v>
      </c>
      <c r="C63" s="602" t="s">
        <v>34</v>
      </c>
      <c r="D63" s="829" t="s">
        <v>628</v>
      </c>
      <c r="E63" s="973"/>
      <c r="F63" s="973"/>
      <c r="G63" s="981"/>
      <c r="H63" s="980"/>
      <c r="I63" s="980"/>
      <c r="J63" s="980"/>
      <c r="K63" s="980"/>
      <c r="L63" s="973"/>
      <c r="M63" s="981"/>
      <c r="N63" s="981"/>
      <c r="O63" s="981"/>
      <c r="P63" s="981"/>
      <c r="Q63" s="981"/>
      <c r="R63" s="981"/>
      <c r="S63" s="981"/>
      <c r="T63" s="981"/>
      <c r="U63" s="981"/>
      <c r="V63" s="981"/>
      <c r="W63" s="981"/>
      <c r="X63" s="981"/>
    </row>
    <row r="64" spans="1:24" s="8" customFormat="1" ht="60">
      <c r="B64" s="606">
        <v>11</v>
      </c>
      <c r="C64" s="602" t="s">
        <v>34</v>
      </c>
      <c r="D64" s="828" t="s">
        <v>42</v>
      </c>
      <c r="E64" s="973"/>
      <c r="F64" s="973"/>
      <c r="G64" s="981"/>
      <c r="H64" s="980"/>
      <c r="I64" s="980"/>
      <c r="J64" s="980"/>
      <c r="K64" s="980"/>
      <c r="L64" s="973"/>
      <c r="M64" s="981"/>
      <c r="N64" s="981"/>
      <c r="O64" s="981"/>
      <c r="P64" s="981"/>
      <c r="Q64" s="981"/>
      <c r="R64" s="981"/>
      <c r="S64" s="981"/>
      <c r="T64" s="981"/>
      <c r="U64" s="981"/>
      <c r="V64" s="981"/>
      <c r="W64" s="981"/>
      <c r="X64" s="981"/>
    </row>
    <row r="65" spans="1:24" s="8" customFormat="1" ht="24">
      <c r="B65" s="606">
        <v>12</v>
      </c>
      <c r="C65" s="602" t="s">
        <v>34</v>
      </c>
      <c r="D65" s="830" t="s">
        <v>43</v>
      </c>
      <c r="E65" s="973">
        <f t="shared" si="1"/>
        <v>1200</v>
      </c>
      <c r="F65" s="973">
        <f t="shared" si="2"/>
        <v>0</v>
      </c>
      <c r="G65" s="981"/>
      <c r="H65" s="980"/>
      <c r="I65" s="980"/>
      <c r="J65" s="980"/>
      <c r="K65" s="980"/>
      <c r="L65" s="973">
        <f t="shared" si="3"/>
        <v>1200</v>
      </c>
      <c r="M65" s="981"/>
      <c r="N65" s="981">
        <v>1200</v>
      </c>
      <c r="O65" s="981"/>
      <c r="P65" s="981"/>
      <c r="Q65" s="981"/>
      <c r="R65" s="981"/>
      <c r="S65" s="981"/>
      <c r="T65" s="981"/>
      <c r="U65" s="981"/>
      <c r="V65" s="981"/>
      <c r="W65" s="981"/>
      <c r="X65" s="981"/>
    </row>
    <row r="66" spans="1:24" s="8" customFormat="1" ht="36">
      <c r="B66" s="606">
        <v>13</v>
      </c>
      <c r="C66" s="602" t="s">
        <v>34</v>
      </c>
      <c r="D66" s="831" t="s">
        <v>629</v>
      </c>
      <c r="E66" s="973"/>
      <c r="F66" s="973"/>
      <c r="G66" s="981"/>
      <c r="H66" s="980"/>
      <c r="I66" s="980"/>
      <c r="J66" s="980"/>
      <c r="K66" s="980"/>
      <c r="L66" s="973"/>
      <c r="M66" s="981"/>
      <c r="N66" s="981"/>
      <c r="O66" s="981"/>
      <c r="P66" s="981"/>
      <c r="Q66" s="981"/>
      <c r="R66" s="981"/>
      <c r="S66" s="981"/>
      <c r="T66" s="981"/>
      <c r="U66" s="981"/>
      <c r="V66" s="981"/>
      <c r="W66" s="981"/>
      <c r="X66" s="981"/>
    </row>
    <row r="67" spans="1:24" s="8" customFormat="1" ht="36">
      <c r="B67" s="606">
        <v>14</v>
      </c>
      <c r="C67" s="602" t="s">
        <v>34</v>
      </c>
      <c r="D67" s="831" t="s">
        <v>630</v>
      </c>
      <c r="E67" s="973">
        <f t="shared" si="1"/>
        <v>8060</v>
      </c>
      <c r="F67" s="973">
        <f t="shared" si="2"/>
        <v>0</v>
      </c>
      <c r="G67" s="981"/>
      <c r="H67" s="980"/>
      <c r="I67" s="980"/>
      <c r="J67" s="980"/>
      <c r="K67" s="980"/>
      <c r="L67" s="973">
        <f t="shared" si="3"/>
        <v>8060</v>
      </c>
      <c r="M67" s="981">
        <v>558</v>
      </c>
      <c r="N67" s="981">
        <v>62</v>
      </c>
      <c r="O67" s="981"/>
      <c r="P67" s="981"/>
      <c r="Q67" s="981"/>
      <c r="R67" s="981"/>
      <c r="S67" s="981"/>
      <c r="T67" s="981"/>
      <c r="U67" s="981">
        <v>7440</v>
      </c>
      <c r="V67" s="981"/>
      <c r="W67" s="981"/>
      <c r="X67" s="981"/>
    </row>
    <row r="68" spans="1:24" s="8" customFormat="1" ht="36">
      <c r="B68" s="606">
        <v>15</v>
      </c>
      <c r="C68" s="602" t="s">
        <v>34</v>
      </c>
      <c r="D68" s="832" t="s">
        <v>46</v>
      </c>
      <c r="E68" s="973">
        <f t="shared" si="1"/>
        <v>101200</v>
      </c>
      <c r="F68" s="973">
        <f t="shared" si="2"/>
        <v>0</v>
      </c>
      <c r="G68" s="981"/>
      <c r="H68" s="980"/>
      <c r="I68" s="980"/>
      <c r="J68" s="980"/>
      <c r="K68" s="980"/>
      <c r="L68" s="973">
        <f t="shared" si="3"/>
        <v>101200</v>
      </c>
      <c r="M68" s="981"/>
      <c r="N68" s="981">
        <v>1200</v>
      </c>
      <c r="O68" s="981"/>
      <c r="P68" s="981"/>
      <c r="Q68" s="981">
        <v>100000</v>
      </c>
      <c r="R68" s="981"/>
      <c r="S68" s="981"/>
      <c r="T68" s="981"/>
      <c r="U68" s="981"/>
      <c r="V68" s="981"/>
      <c r="W68" s="981"/>
      <c r="X68" s="981"/>
    </row>
    <row r="69" spans="1:24" s="8" customFormat="1" ht="24">
      <c r="B69" s="606">
        <v>16</v>
      </c>
      <c r="C69" s="602" t="s">
        <v>34</v>
      </c>
      <c r="D69" s="833" t="s">
        <v>648</v>
      </c>
      <c r="E69" s="973"/>
      <c r="F69" s="973"/>
      <c r="G69" s="981"/>
      <c r="H69" s="980"/>
      <c r="I69" s="980"/>
      <c r="J69" s="980"/>
      <c r="K69" s="980"/>
      <c r="L69" s="973"/>
      <c r="M69" s="981"/>
      <c r="N69" s="981"/>
      <c r="O69" s="981"/>
      <c r="P69" s="981"/>
      <c r="Q69" s="981"/>
      <c r="R69" s="981"/>
      <c r="S69" s="981"/>
      <c r="T69" s="981"/>
      <c r="U69" s="981"/>
      <c r="V69" s="981"/>
      <c r="W69" s="981"/>
      <c r="X69" s="981"/>
    </row>
    <row r="70" spans="1:24" s="8" customFormat="1" ht="24">
      <c r="B70" s="606">
        <v>17</v>
      </c>
      <c r="C70" s="602" t="s">
        <v>34</v>
      </c>
      <c r="D70" s="834" t="s">
        <v>48</v>
      </c>
      <c r="E70" s="973"/>
      <c r="F70" s="973"/>
      <c r="G70" s="981"/>
      <c r="H70" s="980"/>
      <c r="I70" s="980"/>
      <c r="J70" s="980"/>
      <c r="K70" s="980"/>
      <c r="L70" s="973"/>
      <c r="M70" s="981"/>
      <c r="N70" s="981"/>
      <c r="O70" s="981"/>
      <c r="P70" s="981"/>
      <c r="Q70" s="981"/>
      <c r="R70" s="981"/>
      <c r="S70" s="981"/>
      <c r="T70" s="981"/>
      <c r="U70" s="981"/>
      <c r="V70" s="981"/>
      <c r="W70" s="981"/>
      <c r="X70" s="981"/>
    </row>
    <row r="71" spans="1:24" s="8" customFormat="1" ht="36">
      <c r="B71" s="606">
        <v>18</v>
      </c>
      <c r="C71" s="602" t="s">
        <v>34</v>
      </c>
      <c r="D71" s="834" t="s">
        <v>49</v>
      </c>
      <c r="E71" s="973">
        <f t="shared" si="1"/>
        <v>21245</v>
      </c>
      <c r="F71" s="973">
        <f t="shared" si="2"/>
        <v>5000</v>
      </c>
      <c r="G71" s="981">
        <v>5000</v>
      </c>
      <c r="H71" s="980"/>
      <c r="I71" s="980"/>
      <c r="J71" s="980"/>
      <c r="K71" s="980"/>
      <c r="L71" s="973">
        <f t="shared" si="3"/>
        <v>16245</v>
      </c>
      <c r="M71" s="981"/>
      <c r="N71" s="981">
        <v>3300</v>
      </c>
      <c r="O71" s="981">
        <v>2225</v>
      </c>
      <c r="P71" s="981"/>
      <c r="Q71" s="981"/>
      <c r="R71" s="981"/>
      <c r="S71" s="981"/>
      <c r="T71" s="981">
        <v>1720</v>
      </c>
      <c r="U71" s="981"/>
      <c r="V71" s="981">
        <v>9000</v>
      </c>
      <c r="W71" s="981"/>
      <c r="X71" s="981"/>
    </row>
    <row r="72" spans="1:24" s="8" customFormat="1" ht="36">
      <c r="B72" s="606">
        <v>19</v>
      </c>
      <c r="C72" s="602" t="s">
        <v>34</v>
      </c>
      <c r="D72" s="835" t="s">
        <v>209</v>
      </c>
      <c r="E72" s="973">
        <f t="shared" si="1"/>
        <v>31200</v>
      </c>
      <c r="F72" s="973">
        <f t="shared" si="2"/>
        <v>0</v>
      </c>
      <c r="G72" s="981"/>
      <c r="H72" s="980"/>
      <c r="I72" s="980"/>
      <c r="J72" s="980"/>
      <c r="K72" s="980"/>
      <c r="L72" s="973">
        <f t="shared" si="3"/>
        <v>31200</v>
      </c>
      <c r="M72" s="981"/>
      <c r="N72" s="981">
        <v>1200</v>
      </c>
      <c r="O72" s="981"/>
      <c r="P72" s="981"/>
      <c r="Q72" s="981">
        <v>30000</v>
      </c>
      <c r="R72" s="981"/>
      <c r="S72" s="981"/>
      <c r="T72" s="981"/>
      <c r="U72" s="981"/>
      <c r="V72" s="981"/>
      <c r="W72" s="981"/>
      <c r="X72" s="981"/>
    </row>
    <row r="73" spans="1:24" s="8" customFormat="1">
      <c r="B73" s="606">
        <v>20</v>
      </c>
      <c r="C73" s="602" t="s">
        <v>34</v>
      </c>
      <c r="D73" s="836" t="s">
        <v>307</v>
      </c>
      <c r="E73" s="973"/>
      <c r="F73" s="973"/>
      <c r="G73" s="981"/>
      <c r="H73" s="980"/>
      <c r="I73" s="980"/>
      <c r="J73" s="980"/>
      <c r="K73" s="980"/>
      <c r="L73" s="973"/>
      <c r="M73" s="981"/>
      <c r="N73" s="981"/>
      <c r="O73" s="981"/>
      <c r="P73" s="981"/>
      <c r="Q73" s="981"/>
      <c r="R73" s="981"/>
      <c r="S73" s="981"/>
      <c r="T73" s="981"/>
      <c r="U73" s="981"/>
      <c r="V73" s="981"/>
      <c r="W73" s="981"/>
      <c r="X73" s="981"/>
    </row>
    <row r="74" spans="1:24" s="8" customFormat="1">
      <c r="B74" s="606">
        <v>21</v>
      </c>
      <c r="C74" s="602" t="s">
        <v>34</v>
      </c>
      <c r="D74" s="836" t="s">
        <v>210</v>
      </c>
      <c r="E74" s="973"/>
      <c r="F74" s="973"/>
      <c r="G74" s="981"/>
      <c r="H74" s="980"/>
      <c r="I74" s="980"/>
      <c r="J74" s="980"/>
      <c r="K74" s="980"/>
      <c r="L74" s="973"/>
      <c r="M74" s="981"/>
      <c r="N74" s="981"/>
      <c r="O74" s="981"/>
      <c r="P74" s="981"/>
      <c r="Q74" s="981"/>
      <c r="R74" s="981"/>
      <c r="S74" s="981"/>
      <c r="T74" s="981"/>
      <c r="U74" s="981"/>
      <c r="V74" s="981"/>
      <c r="W74" s="981"/>
      <c r="X74" s="981"/>
    </row>
    <row r="75" spans="1:24" s="8" customFormat="1">
      <c r="B75" s="606">
        <v>23</v>
      </c>
      <c r="C75" s="602" t="s">
        <v>34</v>
      </c>
      <c r="D75" s="817" t="s">
        <v>290</v>
      </c>
      <c r="E75" s="973">
        <f t="shared" ref="E75:E134" si="11">F75+L75</f>
        <v>35911</v>
      </c>
      <c r="F75" s="973">
        <f t="shared" ref="F75:F134" si="12">SUM(G75:K75)</f>
        <v>35000</v>
      </c>
      <c r="G75" s="981">
        <v>35000</v>
      </c>
      <c r="H75" s="980"/>
      <c r="I75" s="980"/>
      <c r="J75" s="980"/>
      <c r="K75" s="980"/>
      <c r="L75" s="973">
        <f t="shared" ref="L75:L134" si="13">SUM(M75:X75)</f>
        <v>911</v>
      </c>
      <c r="M75" s="981">
        <v>911</v>
      </c>
      <c r="N75" s="981"/>
      <c r="O75" s="981"/>
      <c r="P75" s="981"/>
      <c r="Q75" s="981"/>
      <c r="R75" s="981"/>
      <c r="S75" s="981"/>
      <c r="T75" s="981"/>
      <c r="U75" s="981"/>
      <c r="V75" s="981"/>
      <c r="W75" s="981"/>
      <c r="X75" s="981"/>
    </row>
    <row r="76" spans="1:24" s="8" customFormat="1">
      <c r="B76" s="606">
        <v>24</v>
      </c>
      <c r="C76" s="602" t="s">
        <v>34</v>
      </c>
      <c r="D76" s="817" t="s">
        <v>292</v>
      </c>
      <c r="E76" s="973">
        <f t="shared" si="11"/>
        <v>813734</v>
      </c>
      <c r="F76" s="973">
        <f t="shared" si="12"/>
        <v>400000</v>
      </c>
      <c r="G76" s="981">
        <v>400000</v>
      </c>
      <c r="H76" s="980"/>
      <c r="I76" s="980"/>
      <c r="J76" s="980"/>
      <c r="K76" s="980"/>
      <c r="L76" s="973">
        <f t="shared" si="13"/>
        <v>413734</v>
      </c>
      <c r="M76" s="981">
        <v>413734</v>
      </c>
      <c r="N76" s="981"/>
      <c r="O76" s="981"/>
      <c r="P76" s="981"/>
      <c r="Q76" s="979"/>
      <c r="R76" s="981"/>
      <c r="S76" s="981"/>
      <c r="T76" s="981"/>
      <c r="U76" s="981"/>
      <c r="V76" s="981"/>
      <c r="W76" s="981"/>
      <c r="X76" s="981"/>
    </row>
    <row r="77" spans="1:24" s="8" customFormat="1">
      <c r="B77" s="606">
        <v>25</v>
      </c>
      <c r="C77" s="602" t="s">
        <v>34</v>
      </c>
      <c r="D77" s="817" t="s">
        <v>291</v>
      </c>
      <c r="E77" s="973">
        <f t="shared" si="11"/>
        <v>36829.345999999998</v>
      </c>
      <c r="F77" s="973">
        <f t="shared" si="12"/>
        <v>0</v>
      </c>
      <c r="G77" s="981"/>
      <c r="H77" s="980"/>
      <c r="I77" s="980"/>
      <c r="J77" s="980"/>
      <c r="K77" s="980"/>
      <c r="L77" s="973">
        <f t="shared" si="13"/>
        <v>36829.345999999998</v>
      </c>
      <c r="M77" s="981">
        <v>24123</v>
      </c>
      <c r="N77" s="981">
        <v>500</v>
      </c>
      <c r="O77" s="981"/>
      <c r="P77" s="981">
        <v>2000</v>
      </c>
      <c r="Q77" s="979"/>
      <c r="R77" s="981"/>
      <c r="S77" s="981">
        <v>4356.3459999999995</v>
      </c>
      <c r="T77" s="981"/>
      <c r="U77" s="981">
        <v>2000</v>
      </c>
      <c r="V77" s="981">
        <v>3000</v>
      </c>
      <c r="W77" s="981"/>
      <c r="X77" s="981">
        <v>850</v>
      </c>
    </row>
    <row r="78" spans="1:24" s="13" customFormat="1" ht="24">
      <c r="A78" s="13" t="s">
        <v>807</v>
      </c>
      <c r="B78" s="609" t="s">
        <v>252</v>
      </c>
      <c r="C78" s="599" t="s">
        <v>34</v>
      </c>
      <c r="D78" s="824" t="s">
        <v>19</v>
      </c>
      <c r="E78" s="976">
        <f t="shared" si="11"/>
        <v>439248</v>
      </c>
      <c r="F78" s="976">
        <f t="shared" si="12"/>
        <v>330200</v>
      </c>
      <c r="G78" s="977">
        <f>SUM(G79:G96)</f>
        <v>330200</v>
      </c>
      <c r="H78" s="978">
        <f t="shared" ref="H78:X78" si="14">SUM(H79:H96)</f>
        <v>0</v>
      </c>
      <c r="I78" s="978">
        <f t="shared" si="14"/>
        <v>0</v>
      </c>
      <c r="J78" s="978">
        <f t="shared" si="14"/>
        <v>0</v>
      </c>
      <c r="K78" s="978">
        <f t="shared" si="14"/>
        <v>0</v>
      </c>
      <c r="L78" s="976">
        <f t="shared" si="13"/>
        <v>109048</v>
      </c>
      <c r="M78" s="977">
        <f t="shared" si="14"/>
        <v>17506</v>
      </c>
      <c r="N78" s="977">
        <f t="shared" si="14"/>
        <v>2500</v>
      </c>
      <c r="O78" s="977">
        <f t="shared" si="14"/>
        <v>6220</v>
      </c>
      <c r="P78" s="977">
        <f t="shared" si="14"/>
        <v>39000</v>
      </c>
      <c r="Q78" s="977">
        <f t="shared" si="14"/>
        <v>4380</v>
      </c>
      <c r="R78" s="977">
        <f t="shared" si="14"/>
        <v>1710</v>
      </c>
      <c r="S78" s="977">
        <f t="shared" si="14"/>
        <v>8100</v>
      </c>
      <c r="T78" s="977">
        <f t="shared" si="14"/>
        <v>7782</v>
      </c>
      <c r="U78" s="977">
        <f t="shared" si="14"/>
        <v>12700</v>
      </c>
      <c r="V78" s="977">
        <f t="shared" si="14"/>
        <v>4340</v>
      </c>
      <c r="W78" s="977">
        <f t="shared" si="14"/>
        <v>2160</v>
      </c>
      <c r="X78" s="977">
        <f t="shared" si="14"/>
        <v>2650</v>
      </c>
    </row>
    <row r="79" spans="1:24" s="13" customFormat="1" ht="24" customHeight="1">
      <c r="B79" s="610">
        <v>1</v>
      </c>
      <c r="C79" s="605" t="s">
        <v>34</v>
      </c>
      <c r="D79" s="835" t="s">
        <v>211</v>
      </c>
      <c r="E79" s="973">
        <f t="shared" si="11"/>
        <v>73040</v>
      </c>
      <c r="F79" s="973">
        <f t="shared" si="12"/>
        <v>4200</v>
      </c>
      <c r="G79" s="979">
        <v>4200</v>
      </c>
      <c r="H79" s="980"/>
      <c r="I79" s="980"/>
      <c r="J79" s="980"/>
      <c r="K79" s="980"/>
      <c r="L79" s="973">
        <f t="shared" si="13"/>
        <v>68840</v>
      </c>
      <c r="M79" s="979">
        <v>17000</v>
      </c>
      <c r="N79" s="979">
        <v>2500</v>
      </c>
      <c r="O79" s="979">
        <v>1220</v>
      </c>
      <c r="P79" s="979">
        <v>18000</v>
      </c>
      <c r="Q79" s="979">
        <v>1880</v>
      </c>
      <c r="R79" s="979">
        <v>1120</v>
      </c>
      <c r="S79" s="979">
        <v>4100</v>
      </c>
      <c r="T79" s="979">
        <v>2660</v>
      </c>
      <c r="U79" s="979">
        <v>12450</v>
      </c>
      <c r="V79" s="979">
        <v>3100</v>
      </c>
      <c r="W79" s="979">
        <v>2160</v>
      </c>
      <c r="X79" s="979">
        <v>2650</v>
      </c>
    </row>
    <row r="80" spans="1:24" s="8" customFormat="1" ht="36">
      <c r="B80" s="610">
        <v>2</v>
      </c>
      <c r="C80" s="605" t="s">
        <v>34</v>
      </c>
      <c r="D80" s="837" t="s">
        <v>649</v>
      </c>
      <c r="E80" s="973"/>
      <c r="F80" s="973"/>
      <c r="G80" s="979"/>
      <c r="H80" s="980"/>
      <c r="I80" s="980"/>
      <c r="J80" s="980"/>
      <c r="K80" s="980"/>
      <c r="L80" s="973"/>
      <c r="M80" s="979"/>
      <c r="N80" s="979"/>
      <c r="O80" s="979"/>
      <c r="P80" s="979"/>
      <c r="Q80" s="979"/>
      <c r="R80" s="979"/>
      <c r="S80" s="979"/>
      <c r="T80" s="979"/>
      <c r="U80" s="979"/>
      <c r="V80" s="979"/>
      <c r="W80" s="979"/>
      <c r="X80" s="979"/>
    </row>
    <row r="81" spans="2:24" s="8" customFormat="1" ht="24">
      <c r="B81" s="610">
        <v>3</v>
      </c>
      <c r="C81" s="605" t="s">
        <v>34</v>
      </c>
      <c r="D81" s="838" t="s">
        <v>650</v>
      </c>
      <c r="E81" s="973"/>
      <c r="F81" s="973"/>
      <c r="G81" s="985"/>
      <c r="H81" s="980"/>
      <c r="I81" s="980"/>
      <c r="J81" s="980"/>
      <c r="K81" s="980"/>
      <c r="L81" s="973"/>
      <c r="M81" s="981"/>
      <c r="N81" s="979"/>
      <c r="O81" s="985"/>
      <c r="P81" s="985"/>
      <c r="Q81" s="985"/>
      <c r="R81" s="985"/>
      <c r="S81" s="985"/>
      <c r="T81" s="985"/>
      <c r="U81" s="985"/>
      <c r="V81" s="985"/>
      <c r="W81" s="985"/>
      <c r="X81" s="985"/>
    </row>
    <row r="82" spans="2:24" ht="36">
      <c r="B82" s="610">
        <v>4</v>
      </c>
      <c r="C82" s="605" t="s">
        <v>34</v>
      </c>
      <c r="D82" s="839" t="s">
        <v>50</v>
      </c>
      <c r="E82" s="973"/>
      <c r="F82" s="973"/>
      <c r="G82" s="985"/>
      <c r="H82" s="980"/>
      <c r="I82" s="980"/>
      <c r="J82" s="980"/>
      <c r="K82" s="980"/>
      <c r="L82" s="973"/>
      <c r="M82" s="981"/>
      <c r="N82" s="979"/>
      <c r="O82" s="985"/>
      <c r="P82" s="985"/>
      <c r="Q82" s="985"/>
      <c r="R82" s="985"/>
      <c r="S82" s="985"/>
      <c r="T82" s="985"/>
      <c r="U82" s="985"/>
      <c r="V82" s="985"/>
      <c r="W82" s="985"/>
      <c r="X82" s="985"/>
    </row>
    <row r="83" spans="2:24" ht="60">
      <c r="B83" s="610">
        <v>5</v>
      </c>
      <c r="C83" s="605" t="s">
        <v>34</v>
      </c>
      <c r="D83" s="839" t="s">
        <v>393</v>
      </c>
      <c r="E83" s="973"/>
      <c r="F83" s="973"/>
      <c r="G83" s="985"/>
      <c r="H83" s="980"/>
      <c r="I83" s="980"/>
      <c r="J83" s="980"/>
      <c r="K83" s="980"/>
      <c r="L83" s="973"/>
      <c r="M83" s="981"/>
      <c r="N83" s="979"/>
      <c r="O83" s="985"/>
      <c r="P83" s="985"/>
      <c r="Q83" s="985"/>
      <c r="R83" s="985"/>
      <c r="S83" s="985"/>
      <c r="T83" s="985"/>
      <c r="U83" s="985"/>
      <c r="V83" s="985"/>
      <c r="W83" s="985"/>
      <c r="X83" s="985"/>
    </row>
    <row r="84" spans="2:24" ht="60">
      <c r="B84" s="610">
        <v>6</v>
      </c>
      <c r="C84" s="605" t="s">
        <v>34</v>
      </c>
      <c r="D84" s="833" t="s">
        <v>651</v>
      </c>
      <c r="E84" s="973"/>
      <c r="F84" s="973"/>
      <c r="G84" s="985"/>
      <c r="H84" s="980"/>
      <c r="I84" s="980"/>
      <c r="J84" s="980"/>
      <c r="K84" s="980"/>
      <c r="L84" s="973"/>
      <c r="M84" s="981"/>
      <c r="N84" s="979"/>
      <c r="O84" s="985"/>
      <c r="P84" s="985"/>
      <c r="Q84" s="985"/>
      <c r="R84" s="985"/>
      <c r="S84" s="985"/>
      <c r="T84" s="985"/>
      <c r="U84" s="985"/>
      <c r="V84" s="985"/>
      <c r="W84" s="985"/>
      <c r="X84" s="985"/>
    </row>
    <row r="85" spans="2:24" ht="60">
      <c r="B85" s="610">
        <v>7</v>
      </c>
      <c r="C85" s="605" t="s">
        <v>34</v>
      </c>
      <c r="D85" s="839" t="s">
        <v>652</v>
      </c>
      <c r="E85" s="973">
        <f t="shared" si="11"/>
        <v>10000</v>
      </c>
      <c r="F85" s="973">
        <f t="shared" si="12"/>
        <v>10000</v>
      </c>
      <c r="G85" s="985">
        <v>10000</v>
      </c>
      <c r="H85" s="980"/>
      <c r="I85" s="980"/>
      <c r="J85" s="980"/>
      <c r="K85" s="980"/>
      <c r="L85" s="973">
        <f t="shared" si="13"/>
        <v>0</v>
      </c>
      <c r="M85" s="992"/>
      <c r="N85" s="979"/>
      <c r="O85" s="993"/>
      <c r="P85" s="993"/>
      <c r="Q85" s="985"/>
      <c r="R85" s="993"/>
      <c r="S85" s="985"/>
      <c r="T85" s="993"/>
      <c r="U85" s="985"/>
      <c r="V85" s="993"/>
      <c r="W85" s="993"/>
      <c r="X85" s="985"/>
    </row>
    <row r="86" spans="2:24" ht="24">
      <c r="B86" s="610">
        <v>8</v>
      </c>
      <c r="C86" s="605" t="s">
        <v>34</v>
      </c>
      <c r="D86" s="839" t="s">
        <v>395</v>
      </c>
      <c r="E86" s="973"/>
      <c r="F86" s="973"/>
      <c r="G86" s="985"/>
      <c r="H86" s="980"/>
      <c r="I86" s="980"/>
      <c r="J86" s="980"/>
      <c r="K86" s="980"/>
      <c r="L86" s="973"/>
      <c r="M86" s="992"/>
      <c r="N86" s="979"/>
      <c r="O86" s="993"/>
      <c r="P86" s="993"/>
      <c r="Q86" s="985"/>
      <c r="R86" s="993"/>
      <c r="S86" s="985"/>
      <c r="T86" s="993"/>
      <c r="U86" s="985"/>
      <c r="V86" s="993"/>
      <c r="W86" s="993"/>
      <c r="X86" s="985"/>
    </row>
    <row r="87" spans="2:24" ht="60">
      <c r="B87" s="610">
        <v>9</v>
      </c>
      <c r="C87" s="605" t="s">
        <v>34</v>
      </c>
      <c r="D87" s="839" t="s">
        <v>52</v>
      </c>
      <c r="E87" s="973"/>
      <c r="F87" s="973"/>
      <c r="G87" s="985"/>
      <c r="H87" s="980"/>
      <c r="I87" s="980"/>
      <c r="J87" s="980"/>
      <c r="K87" s="980"/>
      <c r="L87" s="973"/>
      <c r="M87" s="981"/>
      <c r="N87" s="979"/>
      <c r="O87" s="985"/>
      <c r="P87" s="985"/>
      <c r="Q87" s="985"/>
      <c r="R87" s="985"/>
      <c r="S87" s="985"/>
      <c r="T87" s="985"/>
      <c r="U87" s="985"/>
      <c r="V87" s="985"/>
      <c r="W87" s="985"/>
      <c r="X87" s="985"/>
    </row>
    <row r="88" spans="2:24" ht="24">
      <c r="B88" s="610">
        <v>10</v>
      </c>
      <c r="C88" s="605" t="s">
        <v>34</v>
      </c>
      <c r="D88" s="833" t="s">
        <v>396</v>
      </c>
      <c r="E88" s="973"/>
      <c r="F88" s="973"/>
      <c r="G88" s="985"/>
      <c r="H88" s="980"/>
      <c r="I88" s="980"/>
      <c r="J88" s="980"/>
      <c r="K88" s="980"/>
      <c r="L88" s="973"/>
      <c r="M88" s="981"/>
      <c r="N88" s="979"/>
      <c r="O88" s="985"/>
      <c r="P88" s="985"/>
      <c r="Q88" s="985"/>
      <c r="R88" s="985"/>
      <c r="S88" s="985"/>
      <c r="T88" s="985"/>
      <c r="U88" s="985"/>
      <c r="V88" s="985"/>
      <c r="W88" s="985"/>
      <c r="X88" s="985"/>
    </row>
    <row r="89" spans="2:24" ht="36">
      <c r="B89" s="610">
        <v>11</v>
      </c>
      <c r="C89" s="605" t="s">
        <v>34</v>
      </c>
      <c r="D89" s="839" t="s">
        <v>653</v>
      </c>
      <c r="E89" s="973">
        <f t="shared" si="11"/>
        <v>21426</v>
      </c>
      <c r="F89" s="973">
        <f t="shared" si="12"/>
        <v>4000</v>
      </c>
      <c r="G89" s="985">
        <v>4000</v>
      </c>
      <c r="H89" s="980"/>
      <c r="I89" s="980"/>
      <c r="J89" s="980"/>
      <c r="K89" s="980"/>
      <c r="L89" s="973">
        <f t="shared" si="13"/>
        <v>17426</v>
      </c>
      <c r="M89" s="981">
        <v>506</v>
      </c>
      <c r="N89" s="979"/>
      <c r="O89" s="985"/>
      <c r="P89" s="985">
        <v>16000</v>
      </c>
      <c r="Q89" s="985"/>
      <c r="R89" s="985">
        <v>590</v>
      </c>
      <c r="S89" s="985"/>
      <c r="T89" s="985">
        <v>330</v>
      </c>
      <c r="U89" s="985"/>
      <c r="V89" s="985"/>
      <c r="W89" s="985"/>
      <c r="X89" s="985"/>
    </row>
    <row r="90" spans="2:24">
      <c r="B90" s="610">
        <v>13</v>
      </c>
      <c r="C90" s="605" t="s">
        <v>34</v>
      </c>
      <c r="D90" s="839" t="s">
        <v>53</v>
      </c>
      <c r="E90" s="973">
        <f t="shared" si="11"/>
        <v>17750</v>
      </c>
      <c r="F90" s="973">
        <f t="shared" si="12"/>
        <v>1000</v>
      </c>
      <c r="G90" s="985">
        <v>1000</v>
      </c>
      <c r="H90" s="980"/>
      <c r="I90" s="980"/>
      <c r="J90" s="980"/>
      <c r="K90" s="980"/>
      <c r="L90" s="973">
        <f t="shared" si="13"/>
        <v>16750</v>
      </c>
      <c r="M90" s="981"/>
      <c r="N90" s="979"/>
      <c r="O90" s="985">
        <v>5000</v>
      </c>
      <c r="P90" s="985">
        <v>5000</v>
      </c>
      <c r="Q90" s="985">
        <v>2500</v>
      </c>
      <c r="R90" s="985"/>
      <c r="S90" s="985">
        <v>4000</v>
      </c>
      <c r="T90" s="985"/>
      <c r="U90" s="985">
        <v>250</v>
      </c>
      <c r="V90" s="985"/>
      <c r="W90" s="985"/>
      <c r="X90" s="985"/>
    </row>
    <row r="91" spans="2:24" ht="36">
      <c r="B91" s="610">
        <v>14</v>
      </c>
      <c r="C91" s="605" t="s">
        <v>34</v>
      </c>
      <c r="D91" s="833" t="s">
        <v>397</v>
      </c>
      <c r="E91" s="973">
        <f t="shared" si="11"/>
        <v>82240</v>
      </c>
      <c r="F91" s="973">
        <f t="shared" si="12"/>
        <v>81000</v>
      </c>
      <c r="G91" s="985">
        <v>81000</v>
      </c>
      <c r="H91" s="980"/>
      <c r="I91" s="980"/>
      <c r="J91" s="980"/>
      <c r="K91" s="980"/>
      <c r="L91" s="973">
        <f t="shared" si="13"/>
        <v>1240</v>
      </c>
      <c r="M91" s="981"/>
      <c r="N91" s="979"/>
      <c r="O91" s="985"/>
      <c r="P91" s="985"/>
      <c r="Q91" s="985"/>
      <c r="R91" s="985"/>
      <c r="S91" s="985"/>
      <c r="T91" s="985"/>
      <c r="U91" s="985"/>
      <c r="V91" s="985">
        <v>1240</v>
      </c>
      <c r="W91" s="985"/>
      <c r="X91" s="985"/>
    </row>
    <row r="92" spans="2:24">
      <c r="B92" s="610">
        <v>15</v>
      </c>
      <c r="C92" s="605" t="s">
        <v>34</v>
      </c>
      <c r="D92" s="819" t="s">
        <v>398</v>
      </c>
      <c r="E92" s="973">
        <f t="shared" si="11"/>
        <v>20000</v>
      </c>
      <c r="F92" s="973">
        <f t="shared" si="12"/>
        <v>20000</v>
      </c>
      <c r="G92" s="985">
        <v>20000</v>
      </c>
      <c r="H92" s="980"/>
      <c r="I92" s="980"/>
      <c r="J92" s="980"/>
      <c r="K92" s="980"/>
      <c r="L92" s="973">
        <f t="shared" si="13"/>
        <v>0</v>
      </c>
      <c r="M92" s="981"/>
      <c r="N92" s="979"/>
      <c r="O92" s="985"/>
      <c r="P92" s="985"/>
      <c r="Q92" s="985"/>
      <c r="R92" s="985"/>
      <c r="S92" s="985"/>
      <c r="T92" s="985"/>
      <c r="U92" s="985"/>
      <c r="V92" s="985"/>
      <c r="W92" s="985"/>
      <c r="X92" s="985"/>
    </row>
    <row r="93" spans="2:24">
      <c r="B93" s="610">
        <v>16</v>
      </c>
      <c r="C93" s="605" t="s">
        <v>34</v>
      </c>
      <c r="D93" s="819" t="s">
        <v>292</v>
      </c>
      <c r="E93" s="973">
        <f t="shared" si="11"/>
        <v>60000</v>
      </c>
      <c r="F93" s="973">
        <f t="shared" si="12"/>
        <v>60000</v>
      </c>
      <c r="G93" s="985">
        <v>60000</v>
      </c>
      <c r="H93" s="994"/>
      <c r="I93" s="994"/>
      <c r="J93" s="994"/>
      <c r="K93" s="994"/>
      <c r="L93" s="973">
        <f t="shared" si="13"/>
        <v>0</v>
      </c>
      <c r="M93" s="985"/>
      <c r="N93" s="995"/>
      <c r="O93" s="985"/>
      <c r="P93" s="985"/>
      <c r="Q93" s="985"/>
      <c r="R93" s="985"/>
      <c r="S93" s="985"/>
      <c r="T93" s="985"/>
      <c r="U93" s="985"/>
      <c r="V93" s="985"/>
      <c r="W93" s="985"/>
      <c r="X93" s="985"/>
    </row>
    <row r="94" spans="2:24" ht="36">
      <c r="B94" s="610">
        <v>17</v>
      </c>
      <c r="C94" s="605" t="s">
        <v>34</v>
      </c>
      <c r="D94" s="819" t="s">
        <v>399</v>
      </c>
      <c r="E94" s="973">
        <f t="shared" si="11"/>
        <v>50000</v>
      </c>
      <c r="F94" s="973">
        <f t="shared" si="12"/>
        <v>50000</v>
      </c>
      <c r="G94" s="985">
        <v>50000</v>
      </c>
      <c r="H94" s="994"/>
      <c r="I94" s="994"/>
      <c r="J94" s="994"/>
      <c r="K94" s="994"/>
      <c r="L94" s="973">
        <f t="shared" si="13"/>
        <v>0</v>
      </c>
      <c r="M94" s="985"/>
      <c r="N94" s="995"/>
      <c r="O94" s="985"/>
      <c r="P94" s="985"/>
      <c r="Q94" s="985"/>
      <c r="R94" s="985"/>
      <c r="S94" s="985"/>
      <c r="T94" s="985"/>
      <c r="U94" s="985"/>
      <c r="V94" s="985"/>
      <c r="W94" s="985"/>
      <c r="X94" s="985"/>
    </row>
    <row r="95" spans="2:24" ht="24">
      <c r="B95" s="610">
        <v>18</v>
      </c>
      <c r="C95" s="605" t="s">
        <v>34</v>
      </c>
      <c r="D95" s="819" t="s">
        <v>501</v>
      </c>
      <c r="E95" s="973">
        <f t="shared" si="11"/>
        <v>54792</v>
      </c>
      <c r="F95" s="973">
        <f t="shared" si="12"/>
        <v>50000</v>
      </c>
      <c r="G95" s="985">
        <v>50000</v>
      </c>
      <c r="H95" s="994"/>
      <c r="I95" s="994"/>
      <c r="J95" s="994"/>
      <c r="K95" s="994"/>
      <c r="L95" s="973">
        <f t="shared" si="13"/>
        <v>4792</v>
      </c>
      <c r="M95" s="985"/>
      <c r="N95" s="995"/>
      <c r="O95" s="985"/>
      <c r="P95" s="985"/>
      <c r="Q95" s="985"/>
      <c r="R95" s="985"/>
      <c r="S95" s="985"/>
      <c r="T95" s="985">
        <v>4792</v>
      </c>
      <c r="U95" s="985"/>
      <c r="V95" s="985"/>
      <c r="W95" s="985"/>
      <c r="X95" s="985"/>
    </row>
    <row r="96" spans="2:24">
      <c r="B96" s="610">
        <v>19</v>
      </c>
      <c r="C96" s="605" t="s">
        <v>34</v>
      </c>
      <c r="D96" s="819" t="s">
        <v>400</v>
      </c>
      <c r="E96" s="973">
        <f t="shared" si="11"/>
        <v>50000</v>
      </c>
      <c r="F96" s="973">
        <f t="shared" si="12"/>
        <v>50000</v>
      </c>
      <c r="G96" s="985">
        <v>50000</v>
      </c>
      <c r="H96" s="980"/>
      <c r="I96" s="980"/>
      <c r="J96" s="980"/>
      <c r="K96" s="980"/>
      <c r="L96" s="973">
        <f t="shared" si="13"/>
        <v>0</v>
      </c>
      <c r="M96" s="981"/>
      <c r="N96" s="979"/>
      <c r="O96" s="979"/>
      <c r="P96" s="985"/>
      <c r="Q96" s="985"/>
      <c r="R96" s="985"/>
      <c r="S96" s="985"/>
      <c r="T96" s="985"/>
      <c r="U96" s="985"/>
      <c r="V96" s="979"/>
      <c r="W96" s="985"/>
      <c r="X96" s="979"/>
    </row>
    <row r="97" spans="1:24" s="13" customFormat="1" ht="24">
      <c r="A97" s="13" t="s">
        <v>808</v>
      </c>
      <c r="B97" s="611" t="s">
        <v>253</v>
      </c>
      <c r="C97" s="599" t="s">
        <v>34</v>
      </c>
      <c r="D97" s="840" t="s">
        <v>20</v>
      </c>
      <c r="E97" s="976">
        <f t="shared" si="11"/>
        <v>338548</v>
      </c>
      <c r="F97" s="976">
        <f t="shared" si="12"/>
        <v>109780</v>
      </c>
      <c r="G97" s="996">
        <f>SUM(G98:G117)</f>
        <v>109780</v>
      </c>
      <c r="H97" s="997">
        <f t="shared" ref="H97:X97" si="15">SUM(H98:H117)</f>
        <v>0</v>
      </c>
      <c r="I97" s="997">
        <f t="shared" si="15"/>
        <v>0</v>
      </c>
      <c r="J97" s="997">
        <f t="shared" si="15"/>
        <v>0</v>
      </c>
      <c r="K97" s="997">
        <f t="shared" si="15"/>
        <v>0</v>
      </c>
      <c r="L97" s="976">
        <f t="shared" si="13"/>
        <v>228768</v>
      </c>
      <c r="M97" s="996">
        <f t="shared" si="15"/>
        <v>16683</v>
      </c>
      <c r="N97" s="996">
        <f t="shared" si="15"/>
        <v>15978</v>
      </c>
      <c r="O97" s="996">
        <f t="shared" si="15"/>
        <v>8259</v>
      </c>
      <c r="P97" s="996">
        <f t="shared" si="15"/>
        <v>21600</v>
      </c>
      <c r="Q97" s="996">
        <f t="shared" si="15"/>
        <v>14080</v>
      </c>
      <c r="R97" s="996">
        <f t="shared" si="15"/>
        <v>12388</v>
      </c>
      <c r="S97" s="996">
        <f t="shared" si="15"/>
        <v>19960</v>
      </c>
      <c r="T97" s="996">
        <f t="shared" si="15"/>
        <v>33270</v>
      </c>
      <c r="U97" s="996">
        <f t="shared" si="15"/>
        <v>37500</v>
      </c>
      <c r="V97" s="996">
        <f t="shared" si="15"/>
        <v>5000</v>
      </c>
      <c r="W97" s="996">
        <f t="shared" si="15"/>
        <v>16800</v>
      </c>
      <c r="X97" s="996">
        <f t="shared" si="15"/>
        <v>27250</v>
      </c>
    </row>
    <row r="98" spans="1:24">
      <c r="B98" s="612">
        <v>1</v>
      </c>
      <c r="C98" s="602" t="s">
        <v>34</v>
      </c>
      <c r="D98" s="841" t="s">
        <v>631</v>
      </c>
      <c r="E98" s="973"/>
      <c r="F98" s="973"/>
      <c r="G98" s="998"/>
      <c r="H98" s="999"/>
      <c r="I98" s="999"/>
      <c r="J98" s="999"/>
      <c r="K98" s="999"/>
      <c r="L98" s="973"/>
      <c r="M98" s="981"/>
      <c r="N98" s="979"/>
      <c r="O98" s="985"/>
      <c r="P98" s="985"/>
      <c r="Q98" s="985"/>
      <c r="R98" s="985"/>
      <c r="S98" s="985"/>
      <c r="T98" s="985"/>
      <c r="U98" s="985"/>
      <c r="V98" s="985"/>
      <c r="W98" s="985"/>
      <c r="X98" s="981"/>
    </row>
    <row r="99" spans="1:24" ht="24">
      <c r="B99" s="612">
        <v>2</v>
      </c>
      <c r="C99" s="602" t="s">
        <v>34</v>
      </c>
      <c r="D99" s="841" t="s">
        <v>632</v>
      </c>
      <c r="E99" s="973"/>
      <c r="F99" s="973"/>
      <c r="G99" s="998"/>
      <c r="H99" s="999"/>
      <c r="I99" s="999"/>
      <c r="J99" s="999"/>
      <c r="K99" s="999"/>
      <c r="L99" s="973"/>
      <c r="M99" s="981"/>
      <c r="N99" s="995"/>
      <c r="O99" s="985"/>
      <c r="P99" s="985"/>
      <c r="Q99" s="985"/>
      <c r="R99" s="985"/>
      <c r="S99" s="985"/>
      <c r="T99" s="985"/>
      <c r="U99" s="985"/>
      <c r="V99" s="985"/>
      <c r="W99" s="985"/>
      <c r="X99" s="981"/>
    </row>
    <row r="100" spans="1:24" ht="24">
      <c r="B100" s="612">
        <v>3</v>
      </c>
      <c r="C100" s="602" t="s">
        <v>34</v>
      </c>
      <c r="D100" s="841" t="s">
        <v>633</v>
      </c>
      <c r="E100" s="973"/>
      <c r="F100" s="973"/>
      <c r="G100" s="1000"/>
      <c r="H100" s="1001"/>
      <c r="I100" s="1001"/>
      <c r="J100" s="1001"/>
      <c r="K100" s="1001"/>
      <c r="L100" s="973"/>
      <c r="M100" s="995"/>
      <c r="N100" s="995"/>
      <c r="O100" s="995"/>
      <c r="P100" s="995"/>
      <c r="Q100" s="995"/>
      <c r="R100" s="995"/>
      <c r="S100" s="995"/>
      <c r="T100" s="995"/>
      <c r="U100" s="995"/>
      <c r="V100" s="995"/>
      <c r="W100" s="995"/>
      <c r="X100" s="995"/>
    </row>
    <row r="101" spans="1:24">
      <c r="B101" s="612">
        <v>4</v>
      </c>
      <c r="C101" s="602" t="s">
        <v>34</v>
      </c>
      <c r="D101" s="842" t="s">
        <v>59</v>
      </c>
      <c r="E101" s="973"/>
      <c r="F101" s="973"/>
      <c r="G101" s="998"/>
      <c r="H101" s="999"/>
      <c r="I101" s="999"/>
      <c r="J101" s="999"/>
      <c r="K101" s="999"/>
      <c r="L101" s="973"/>
      <c r="M101" s="992"/>
      <c r="N101" s="979"/>
      <c r="O101" s="985"/>
      <c r="P101" s="985"/>
      <c r="Q101" s="985"/>
      <c r="R101" s="985"/>
      <c r="S101" s="985"/>
      <c r="T101" s="985"/>
      <c r="U101" s="985"/>
      <c r="V101" s="985"/>
      <c r="W101" s="985"/>
      <c r="X101" s="981"/>
    </row>
    <row r="102" spans="1:24">
      <c r="B102" s="612">
        <v>5</v>
      </c>
      <c r="C102" s="602" t="s">
        <v>34</v>
      </c>
      <c r="D102" s="842" t="s">
        <v>60</v>
      </c>
      <c r="E102" s="973">
        <f t="shared" si="11"/>
        <v>10000</v>
      </c>
      <c r="F102" s="973">
        <f t="shared" si="12"/>
        <v>10000</v>
      </c>
      <c r="G102" s="998">
        <v>10000</v>
      </c>
      <c r="H102" s="999"/>
      <c r="I102" s="999"/>
      <c r="J102" s="999"/>
      <c r="K102" s="999"/>
      <c r="L102" s="973">
        <f t="shared" si="13"/>
        <v>0</v>
      </c>
      <c r="M102" s="992"/>
      <c r="N102" s="979">
        <v>0</v>
      </c>
      <c r="O102" s="985"/>
      <c r="P102" s="985"/>
      <c r="Q102" s="985">
        <v>0</v>
      </c>
      <c r="R102" s="985"/>
      <c r="S102" s="985"/>
      <c r="T102" s="985"/>
      <c r="U102" s="985">
        <v>0</v>
      </c>
      <c r="V102" s="985"/>
      <c r="W102" s="985"/>
      <c r="X102" s="981">
        <v>0</v>
      </c>
    </row>
    <row r="103" spans="1:24">
      <c r="B103" s="612">
        <v>6</v>
      </c>
      <c r="C103" s="602" t="s">
        <v>34</v>
      </c>
      <c r="D103" s="842" t="s">
        <v>61</v>
      </c>
      <c r="E103" s="973"/>
      <c r="F103" s="973"/>
      <c r="G103" s="998"/>
      <c r="H103" s="999"/>
      <c r="I103" s="999"/>
      <c r="J103" s="999"/>
      <c r="K103" s="999"/>
      <c r="L103" s="973"/>
      <c r="M103" s="992"/>
      <c r="N103" s="979"/>
      <c r="O103" s="993"/>
      <c r="P103" s="993"/>
      <c r="Q103" s="993"/>
      <c r="R103" s="993"/>
      <c r="S103" s="993"/>
      <c r="T103" s="993"/>
      <c r="U103" s="985"/>
      <c r="V103" s="993"/>
      <c r="W103" s="993"/>
      <c r="X103" s="992"/>
    </row>
    <row r="104" spans="1:24">
      <c r="B104" s="612">
        <v>7</v>
      </c>
      <c r="C104" s="602" t="s">
        <v>34</v>
      </c>
      <c r="D104" s="842" t="s">
        <v>62</v>
      </c>
      <c r="E104" s="973"/>
      <c r="F104" s="973"/>
      <c r="G104" s="998"/>
      <c r="H104" s="999"/>
      <c r="I104" s="999"/>
      <c r="J104" s="999"/>
      <c r="K104" s="999"/>
      <c r="L104" s="973"/>
      <c r="M104" s="981"/>
      <c r="N104" s="979"/>
      <c r="O104" s="985"/>
      <c r="P104" s="985"/>
      <c r="Q104" s="985"/>
      <c r="R104" s="985"/>
      <c r="S104" s="985"/>
      <c r="T104" s="985"/>
      <c r="U104" s="985"/>
      <c r="V104" s="985"/>
      <c r="W104" s="985"/>
      <c r="X104" s="981"/>
    </row>
    <row r="105" spans="1:24">
      <c r="B105" s="612">
        <v>9</v>
      </c>
      <c r="C105" s="602" t="s">
        <v>34</v>
      </c>
      <c r="D105" s="842" t="s">
        <v>63</v>
      </c>
      <c r="E105" s="973">
        <f t="shared" si="11"/>
        <v>128628</v>
      </c>
      <c r="F105" s="973">
        <f t="shared" si="12"/>
        <v>69760</v>
      </c>
      <c r="G105" s="998">
        <v>69760</v>
      </c>
      <c r="H105" s="999"/>
      <c r="I105" s="999"/>
      <c r="J105" s="999"/>
      <c r="K105" s="999"/>
      <c r="L105" s="973">
        <f t="shared" si="13"/>
        <v>58868</v>
      </c>
      <c r="M105" s="981"/>
      <c r="N105" s="979">
        <v>7578</v>
      </c>
      <c r="O105" s="985">
        <v>1180</v>
      </c>
      <c r="P105" s="985">
        <v>2600</v>
      </c>
      <c r="Q105" s="985">
        <v>2200</v>
      </c>
      <c r="R105" s="985">
        <v>1440</v>
      </c>
      <c r="S105" s="985">
        <v>2960</v>
      </c>
      <c r="T105" s="985">
        <v>16260</v>
      </c>
      <c r="U105" s="985">
        <v>18000</v>
      </c>
      <c r="V105" s="985"/>
      <c r="W105" s="985">
        <v>4800</v>
      </c>
      <c r="X105" s="981">
        <v>1850</v>
      </c>
    </row>
    <row r="106" spans="1:24">
      <c r="B106" s="612">
        <v>10</v>
      </c>
      <c r="C106" s="602" t="s">
        <v>34</v>
      </c>
      <c r="D106" s="842" t="s">
        <v>64</v>
      </c>
      <c r="E106" s="973">
        <f t="shared" si="11"/>
        <v>5000</v>
      </c>
      <c r="F106" s="973">
        <f t="shared" si="12"/>
        <v>5000</v>
      </c>
      <c r="G106" s="998">
        <v>5000</v>
      </c>
      <c r="H106" s="999"/>
      <c r="I106" s="999"/>
      <c r="J106" s="999"/>
      <c r="K106" s="999"/>
      <c r="L106" s="973">
        <f t="shared" si="13"/>
        <v>0</v>
      </c>
      <c r="M106" s="981"/>
      <c r="N106" s="979"/>
      <c r="O106" s="985"/>
      <c r="P106" s="985"/>
      <c r="Q106" s="985">
        <v>0</v>
      </c>
      <c r="R106" s="985"/>
      <c r="S106" s="985"/>
      <c r="T106" s="985"/>
      <c r="U106" s="985">
        <v>0</v>
      </c>
      <c r="V106" s="985"/>
      <c r="W106" s="985"/>
      <c r="X106" s="981">
        <v>0</v>
      </c>
    </row>
    <row r="107" spans="1:24">
      <c r="B107" s="612">
        <v>11</v>
      </c>
      <c r="C107" s="602" t="s">
        <v>34</v>
      </c>
      <c r="D107" s="843" t="s">
        <v>65</v>
      </c>
      <c r="E107" s="973">
        <f t="shared" si="11"/>
        <v>19200</v>
      </c>
      <c r="F107" s="973">
        <f t="shared" si="12"/>
        <v>0</v>
      </c>
      <c r="G107" s="998"/>
      <c r="H107" s="999"/>
      <c r="I107" s="999"/>
      <c r="J107" s="999"/>
      <c r="K107" s="999"/>
      <c r="L107" s="973">
        <f t="shared" si="13"/>
        <v>19200</v>
      </c>
      <c r="M107" s="1002"/>
      <c r="N107" s="979">
        <v>0</v>
      </c>
      <c r="O107" s="986"/>
      <c r="P107" s="986"/>
      <c r="Q107" s="986">
        <v>0</v>
      </c>
      <c r="R107" s="986"/>
      <c r="S107" s="986"/>
      <c r="T107" s="986"/>
      <c r="U107" s="986">
        <v>0</v>
      </c>
      <c r="V107" s="986"/>
      <c r="W107" s="986"/>
      <c r="X107" s="1002">
        <v>19200</v>
      </c>
    </row>
    <row r="108" spans="1:24" ht="24">
      <c r="B108" s="613">
        <v>12</v>
      </c>
      <c r="C108" s="602" t="s">
        <v>34</v>
      </c>
      <c r="D108" s="844" t="s">
        <v>654</v>
      </c>
      <c r="E108" s="973"/>
      <c r="F108" s="973"/>
      <c r="G108" s="986"/>
      <c r="H108" s="980"/>
      <c r="I108" s="980"/>
      <c r="J108" s="980"/>
      <c r="K108" s="980"/>
      <c r="L108" s="973"/>
      <c r="M108" s="1002"/>
      <c r="N108" s="979"/>
      <c r="O108" s="986"/>
      <c r="P108" s="986"/>
      <c r="Q108" s="985"/>
      <c r="R108" s="986"/>
      <c r="S108" s="986"/>
      <c r="T108" s="986"/>
      <c r="U108" s="986"/>
      <c r="V108" s="986"/>
      <c r="W108" s="986"/>
      <c r="X108" s="1002"/>
    </row>
    <row r="109" spans="1:24">
      <c r="B109" s="613">
        <v>13</v>
      </c>
      <c r="C109" s="602" t="s">
        <v>34</v>
      </c>
      <c r="D109" s="845" t="s">
        <v>231</v>
      </c>
      <c r="E109" s="973">
        <f t="shared" si="11"/>
        <v>20639</v>
      </c>
      <c r="F109" s="973">
        <f t="shared" si="12"/>
        <v>0</v>
      </c>
      <c r="G109" s="986"/>
      <c r="H109" s="980"/>
      <c r="I109" s="980"/>
      <c r="J109" s="980"/>
      <c r="K109" s="980"/>
      <c r="L109" s="973">
        <f t="shared" si="13"/>
        <v>20639</v>
      </c>
      <c r="M109" s="1002">
        <v>530</v>
      </c>
      <c r="N109" s="979">
        <v>1200</v>
      </c>
      <c r="O109" s="1003">
        <v>1079</v>
      </c>
      <c r="P109" s="986">
        <v>5000</v>
      </c>
      <c r="Q109" s="986">
        <v>0</v>
      </c>
      <c r="R109" s="986"/>
      <c r="S109" s="986">
        <v>5000</v>
      </c>
      <c r="T109" s="986">
        <v>330</v>
      </c>
      <c r="U109" s="986">
        <v>7500</v>
      </c>
      <c r="V109" s="986"/>
      <c r="W109" s="986"/>
      <c r="X109" s="1002">
        <v>0</v>
      </c>
    </row>
    <row r="110" spans="1:24" ht="24">
      <c r="B110" s="613">
        <v>15</v>
      </c>
      <c r="C110" s="602" t="s">
        <v>34</v>
      </c>
      <c r="D110" s="845" t="s">
        <v>67</v>
      </c>
      <c r="E110" s="973">
        <f t="shared" si="11"/>
        <v>15000</v>
      </c>
      <c r="F110" s="973">
        <f t="shared" si="12"/>
        <v>0</v>
      </c>
      <c r="G110" s="986"/>
      <c r="H110" s="980"/>
      <c r="I110" s="980"/>
      <c r="J110" s="980"/>
      <c r="K110" s="980"/>
      <c r="L110" s="973">
        <f t="shared" si="13"/>
        <v>15000</v>
      </c>
      <c r="M110" s="1002"/>
      <c r="N110" s="979">
        <v>1000</v>
      </c>
      <c r="O110" s="986"/>
      <c r="P110" s="986">
        <v>5000</v>
      </c>
      <c r="Q110" s="985">
        <v>9000</v>
      </c>
      <c r="R110" s="986"/>
      <c r="S110" s="986"/>
      <c r="T110" s="986"/>
      <c r="U110" s="986">
        <v>0</v>
      </c>
      <c r="V110" s="986"/>
      <c r="W110" s="986"/>
      <c r="X110" s="1002">
        <v>0</v>
      </c>
    </row>
    <row r="111" spans="1:24" ht="108">
      <c r="B111" s="613">
        <v>16</v>
      </c>
      <c r="C111" s="602" t="s">
        <v>34</v>
      </c>
      <c r="D111" s="845" t="s">
        <v>425</v>
      </c>
      <c r="E111" s="973">
        <f t="shared" si="11"/>
        <v>26250</v>
      </c>
      <c r="F111" s="973">
        <f t="shared" si="12"/>
        <v>13200</v>
      </c>
      <c r="G111" s="986">
        <f>13200</f>
        <v>13200</v>
      </c>
      <c r="H111" s="980"/>
      <c r="I111" s="980"/>
      <c r="J111" s="980"/>
      <c r="K111" s="980"/>
      <c r="L111" s="973">
        <f t="shared" si="13"/>
        <v>13050</v>
      </c>
      <c r="M111" s="1002">
        <v>10050</v>
      </c>
      <c r="N111" s="979">
        <v>0</v>
      </c>
      <c r="O111" s="986"/>
      <c r="P111" s="986">
        <v>3000</v>
      </c>
      <c r="Q111" s="985"/>
      <c r="R111" s="986"/>
      <c r="S111" s="986"/>
      <c r="T111" s="986"/>
      <c r="U111" s="986">
        <v>0</v>
      </c>
      <c r="V111" s="986"/>
      <c r="W111" s="986"/>
      <c r="X111" s="1002">
        <v>0</v>
      </c>
    </row>
    <row r="112" spans="1:24" ht="24">
      <c r="B112" s="613">
        <v>17</v>
      </c>
      <c r="C112" s="602" t="s">
        <v>34</v>
      </c>
      <c r="D112" s="844" t="s">
        <v>655</v>
      </c>
      <c r="E112" s="973"/>
      <c r="F112" s="973"/>
      <c r="G112" s="986"/>
      <c r="H112" s="980"/>
      <c r="I112" s="980"/>
      <c r="J112" s="980"/>
      <c r="K112" s="980"/>
      <c r="L112" s="973"/>
      <c r="M112" s="1002"/>
      <c r="N112" s="979"/>
      <c r="O112" s="986"/>
      <c r="P112" s="986"/>
      <c r="Q112" s="985"/>
      <c r="R112" s="986"/>
      <c r="S112" s="986"/>
      <c r="T112" s="986"/>
      <c r="U112" s="986"/>
      <c r="V112" s="986"/>
      <c r="W112" s="986"/>
      <c r="X112" s="1002"/>
    </row>
    <row r="113" spans="1:24">
      <c r="B113" s="613">
        <v>18</v>
      </c>
      <c r="C113" s="602" t="s">
        <v>34</v>
      </c>
      <c r="D113" s="819" t="s">
        <v>290</v>
      </c>
      <c r="E113" s="973">
        <f t="shared" si="11"/>
        <v>4948</v>
      </c>
      <c r="F113" s="973">
        <f t="shared" si="12"/>
        <v>0</v>
      </c>
      <c r="G113" s="986"/>
      <c r="H113" s="980"/>
      <c r="I113" s="980"/>
      <c r="J113" s="980"/>
      <c r="K113" s="980"/>
      <c r="L113" s="973">
        <f t="shared" si="13"/>
        <v>4948</v>
      </c>
      <c r="M113" s="1002"/>
      <c r="N113" s="979"/>
      <c r="O113" s="986"/>
      <c r="P113" s="986"/>
      <c r="Q113" s="985"/>
      <c r="R113" s="986">
        <v>4948</v>
      </c>
      <c r="S113" s="986"/>
      <c r="T113" s="986"/>
      <c r="U113" s="986"/>
      <c r="V113" s="986"/>
      <c r="W113" s="986"/>
      <c r="X113" s="1002"/>
    </row>
    <row r="114" spans="1:24">
      <c r="B114" s="613">
        <v>19</v>
      </c>
      <c r="C114" s="602" t="s">
        <v>34</v>
      </c>
      <c r="D114" s="819" t="s">
        <v>292</v>
      </c>
      <c r="E114" s="973">
        <f t="shared" si="11"/>
        <v>91483</v>
      </c>
      <c r="F114" s="973">
        <f t="shared" si="12"/>
        <v>0</v>
      </c>
      <c r="G114" s="986"/>
      <c r="H114" s="980"/>
      <c r="I114" s="980"/>
      <c r="J114" s="980"/>
      <c r="K114" s="980"/>
      <c r="L114" s="973">
        <f t="shared" si="13"/>
        <v>91483</v>
      </c>
      <c r="M114" s="1002">
        <v>6103</v>
      </c>
      <c r="N114" s="979">
        <v>6200</v>
      </c>
      <c r="O114" s="986">
        <v>6000</v>
      </c>
      <c r="P114" s="986">
        <v>6000</v>
      </c>
      <c r="Q114" s="985">
        <v>2880</v>
      </c>
      <c r="R114" s="986">
        <v>6000</v>
      </c>
      <c r="S114" s="986">
        <v>12000</v>
      </c>
      <c r="T114" s="986">
        <v>11100</v>
      </c>
      <c r="U114" s="986">
        <v>12000</v>
      </c>
      <c r="V114" s="986">
        <v>5000</v>
      </c>
      <c r="W114" s="986">
        <v>12000</v>
      </c>
      <c r="X114" s="1002">
        <v>6200</v>
      </c>
    </row>
    <row r="115" spans="1:24">
      <c r="B115" s="613">
        <v>20</v>
      </c>
      <c r="C115" s="602" t="s">
        <v>34</v>
      </c>
      <c r="D115" s="819" t="s">
        <v>291</v>
      </c>
      <c r="E115" s="973">
        <f t="shared" si="11"/>
        <v>17400</v>
      </c>
      <c r="F115" s="973">
        <f t="shared" si="12"/>
        <v>11820</v>
      </c>
      <c r="G115" s="986">
        <f>6460+5360</f>
        <v>11820</v>
      </c>
      <c r="H115" s="980"/>
      <c r="I115" s="980"/>
      <c r="J115" s="980"/>
      <c r="K115" s="980"/>
      <c r="L115" s="973">
        <f t="shared" si="13"/>
        <v>5580</v>
      </c>
      <c r="M115" s="1002"/>
      <c r="N115" s="979"/>
      <c r="O115" s="986"/>
      <c r="P115" s="986"/>
      <c r="Q115" s="985"/>
      <c r="R115" s="986"/>
      <c r="S115" s="986"/>
      <c r="T115" s="986">
        <v>5580</v>
      </c>
      <c r="U115" s="986"/>
      <c r="V115" s="986"/>
      <c r="W115" s="986"/>
      <c r="X115" s="1002"/>
    </row>
    <row r="116" spans="1:24" ht="60">
      <c r="B116" s="613">
        <v>21</v>
      </c>
      <c r="C116" s="602" t="s">
        <v>34</v>
      </c>
      <c r="D116" s="844" t="s">
        <v>656</v>
      </c>
      <c r="E116" s="973"/>
      <c r="F116" s="973"/>
      <c r="G116" s="986"/>
      <c r="H116" s="980"/>
      <c r="I116" s="980"/>
      <c r="J116" s="980"/>
      <c r="K116" s="980"/>
      <c r="L116" s="973"/>
      <c r="M116" s="1002"/>
      <c r="N116" s="979"/>
      <c r="O116" s="986"/>
      <c r="P116" s="986"/>
      <c r="Q116" s="985"/>
      <c r="R116" s="986"/>
      <c r="S116" s="986"/>
      <c r="T116" s="986"/>
      <c r="U116" s="986"/>
      <c r="V116" s="986"/>
      <c r="W116" s="986"/>
      <c r="X116" s="1002"/>
    </row>
    <row r="117" spans="1:24" ht="19.5" customHeight="1">
      <c r="B117" s="613">
        <v>22</v>
      </c>
      <c r="C117" s="602" t="s">
        <v>34</v>
      </c>
      <c r="D117" s="844" t="s">
        <v>657</v>
      </c>
      <c r="E117" s="973"/>
      <c r="F117" s="973"/>
      <c r="G117" s="986"/>
      <c r="H117" s="980"/>
      <c r="I117" s="980"/>
      <c r="J117" s="980"/>
      <c r="K117" s="980"/>
      <c r="L117" s="973"/>
      <c r="M117" s="1002"/>
      <c r="N117" s="979"/>
      <c r="O117" s="986"/>
      <c r="P117" s="986"/>
      <c r="Q117" s="985"/>
      <c r="R117" s="986"/>
      <c r="S117" s="986"/>
      <c r="T117" s="986"/>
      <c r="U117" s="986"/>
      <c r="V117" s="986"/>
      <c r="W117" s="986"/>
      <c r="X117" s="1002"/>
    </row>
    <row r="118" spans="1:24" s="13" customFormat="1" ht="24">
      <c r="A118" s="13" t="s">
        <v>809</v>
      </c>
      <c r="B118" s="607" t="s">
        <v>254</v>
      </c>
      <c r="C118" s="599" t="s">
        <v>34</v>
      </c>
      <c r="D118" s="824" t="s">
        <v>21</v>
      </c>
      <c r="E118" s="973">
        <f t="shared" si="11"/>
        <v>2893137</v>
      </c>
      <c r="F118" s="973">
        <f t="shared" si="12"/>
        <v>665000</v>
      </c>
      <c r="G118" s="977">
        <f>SUM(G119:G148)</f>
        <v>665000</v>
      </c>
      <c r="H118" s="978">
        <f t="shared" ref="H118:X118" si="16">SUM(H119:H148)</f>
        <v>0</v>
      </c>
      <c r="I118" s="978">
        <f t="shared" si="16"/>
        <v>0</v>
      </c>
      <c r="J118" s="978">
        <f t="shared" si="16"/>
        <v>0</v>
      </c>
      <c r="K118" s="978">
        <f t="shared" si="16"/>
        <v>0</v>
      </c>
      <c r="L118" s="973">
        <f t="shared" si="13"/>
        <v>2228137</v>
      </c>
      <c r="M118" s="977">
        <f t="shared" si="16"/>
        <v>9974</v>
      </c>
      <c r="N118" s="977">
        <f t="shared" si="16"/>
        <v>34400</v>
      </c>
      <c r="O118" s="977">
        <f t="shared" si="16"/>
        <v>35478</v>
      </c>
      <c r="P118" s="977">
        <f t="shared" si="16"/>
        <v>207575</v>
      </c>
      <c r="Q118" s="977">
        <f t="shared" si="16"/>
        <v>236700</v>
      </c>
      <c r="R118" s="977">
        <f t="shared" si="16"/>
        <v>47525</v>
      </c>
      <c r="S118" s="977">
        <f t="shared" si="16"/>
        <v>409950</v>
      </c>
      <c r="T118" s="977">
        <f t="shared" si="16"/>
        <v>257640</v>
      </c>
      <c r="U118" s="977">
        <f t="shared" si="16"/>
        <v>449885</v>
      </c>
      <c r="V118" s="977">
        <f t="shared" si="16"/>
        <v>167440</v>
      </c>
      <c r="W118" s="977">
        <f t="shared" si="16"/>
        <v>216010</v>
      </c>
      <c r="X118" s="977">
        <f t="shared" si="16"/>
        <v>155560</v>
      </c>
    </row>
    <row r="119" spans="1:24" ht="36">
      <c r="B119" s="610">
        <v>1</v>
      </c>
      <c r="C119" s="602" t="s">
        <v>34</v>
      </c>
      <c r="D119" s="846" t="s">
        <v>658</v>
      </c>
      <c r="E119" s="973"/>
      <c r="F119" s="973"/>
      <c r="G119" s="985"/>
      <c r="H119" s="980"/>
      <c r="I119" s="980"/>
      <c r="J119" s="980"/>
      <c r="K119" s="980"/>
      <c r="L119" s="973"/>
      <c r="M119" s="1002"/>
      <c r="N119" s="986"/>
      <c r="O119" s="986"/>
      <c r="P119" s="986"/>
      <c r="Q119" s="986"/>
      <c r="R119" s="986"/>
      <c r="S119" s="985"/>
      <c r="T119" s="986"/>
      <c r="U119" s="986"/>
      <c r="V119" s="986"/>
      <c r="W119" s="986"/>
      <c r="X119" s="1002"/>
    </row>
    <row r="120" spans="1:24">
      <c r="B120" s="610">
        <v>2</v>
      </c>
      <c r="C120" s="602" t="s">
        <v>34</v>
      </c>
      <c r="D120" s="847" t="s">
        <v>68</v>
      </c>
      <c r="E120" s="973">
        <f t="shared" si="11"/>
        <v>318220</v>
      </c>
      <c r="F120" s="973">
        <f t="shared" si="12"/>
        <v>115000</v>
      </c>
      <c r="G120" s="995">
        <v>115000</v>
      </c>
      <c r="H120" s="994"/>
      <c r="I120" s="994"/>
      <c r="J120" s="994"/>
      <c r="K120" s="994"/>
      <c r="L120" s="973">
        <f t="shared" si="13"/>
        <v>203220</v>
      </c>
      <c r="M120" s="995">
        <v>9800</v>
      </c>
      <c r="N120" s="995">
        <v>17000</v>
      </c>
      <c r="O120" s="995">
        <v>1180</v>
      </c>
      <c r="P120" s="995">
        <v>23900</v>
      </c>
      <c r="Q120" s="995">
        <v>37820</v>
      </c>
      <c r="R120" s="995">
        <v>1260</v>
      </c>
      <c r="S120" s="995">
        <v>42900</v>
      </c>
      <c r="T120" s="995">
        <v>38340</v>
      </c>
      <c r="U120" s="995"/>
      <c r="V120" s="995">
        <v>9040</v>
      </c>
      <c r="W120" s="995">
        <v>8690</v>
      </c>
      <c r="X120" s="995">
        <v>13290</v>
      </c>
    </row>
    <row r="121" spans="1:24">
      <c r="B121" s="610">
        <v>3</v>
      </c>
      <c r="C121" s="602" t="s">
        <v>34</v>
      </c>
      <c r="D121" s="848" t="s">
        <v>69</v>
      </c>
      <c r="E121" s="973">
        <f t="shared" si="11"/>
        <v>1200</v>
      </c>
      <c r="F121" s="973">
        <f t="shared" si="12"/>
        <v>0</v>
      </c>
      <c r="G121" s="985"/>
      <c r="H121" s="980"/>
      <c r="I121" s="980"/>
      <c r="J121" s="980"/>
      <c r="K121" s="980"/>
      <c r="L121" s="973">
        <f t="shared" si="13"/>
        <v>1200</v>
      </c>
      <c r="M121" s="1002"/>
      <c r="N121" s="979">
        <v>1200</v>
      </c>
      <c r="O121" s="986"/>
      <c r="P121" s="986"/>
      <c r="Q121" s="986"/>
      <c r="R121" s="986"/>
      <c r="S121" s="985"/>
      <c r="T121" s="986"/>
      <c r="U121" s="986"/>
      <c r="V121" s="986"/>
      <c r="W121" s="986"/>
      <c r="X121" s="1002"/>
    </row>
    <row r="122" spans="1:24" ht="36">
      <c r="B122" s="610">
        <v>4</v>
      </c>
      <c r="C122" s="602" t="s">
        <v>34</v>
      </c>
      <c r="D122" s="849" t="s">
        <v>539</v>
      </c>
      <c r="E122" s="973"/>
      <c r="F122" s="973"/>
      <c r="G122" s="985"/>
      <c r="H122" s="980"/>
      <c r="I122" s="980"/>
      <c r="J122" s="980"/>
      <c r="K122" s="980"/>
      <c r="L122" s="973"/>
      <c r="M122" s="1002"/>
      <c r="N122" s="979"/>
      <c r="O122" s="986"/>
      <c r="P122" s="986"/>
      <c r="Q122" s="986"/>
      <c r="R122" s="986"/>
      <c r="S122" s="985"/>
      <c r="T122" s="986"/>
      <c r="U122" s="986"/>
      <c r="V122" s="986"/>
      <c r="W122" s="986"/>
      <c r="X122" s="1002"/>
    </row>
    <row r="123" spans="1:24">
      <c r="B123" s="610">
        <v>6</v>
      </c>
      <c r="C123" s="602" t="s">
        <v>34</v>
      </c>
      <c r="D123" s="847" t="s">
        <v>70</v>
      </c>
      <c r="E123" s="973">
        <f t="shared" si="11"/>
        <v>12400</v>
      </c>
      <c r="F123" s="973">
        <f t="shared" si="12"/>
        <v>0</v>
      </c>
      <c r="G123" s="985"/>
      <c r="H123" s="980"/>
      <c r="I123" s="980"/>
      <c r="J123" s="980"/>
      <c r="K123" s="980"/>
      <c r="L123" s="973">
        <f t="shared" si="13"/>
        <v>12400</v>
      </c>
      <c r="M123" s="1002"/>
      <c r="N123" s="979">
        <v>1500</v>
      </c>
      <c r="O123" s="986">
        <v>200</v>
      </c>
      <c r="P123" s="986">
        <v>2000</v>
      </c>
      <c r="Q123" s="986">
        <v>5000</v>
      </c>
      <c r="R123" s="986"/>
      <c r="S123" s="985"/>
      <c r="T123" s="986"/>
      <c r="U123" s="986"/>
      <c r="V123" s="986">
        <v>1500</v>
      </c>
      <c r="W123" s="995"/>
      <c r="X123" s="1002">
        <v>2200</v>
      </c>
    </row>
    <row r="124" spans="1:24">
      <c r="B124" s="610">
        <v>7</v>
      </c>
      <c r="C124" s="602" t="s">
        <v>34</v>
      </c>
      <c r="D124" s="847" t="s">
        <v>523</v>
      </c>
      <c r="E124" s="973">
        <f t="shared" si="11"/>
        <v>10000</v>
      </c>
      <c r="F124" s="973">
        <f t="shared" si="12"/>
        <v>10000</v>
      </c>
      <c r="G124" s="985">
        <v>10000</v>
      </c>
      <c r="H124" s="980"/>
      <c r="I124" s="980"/>
      <c r="J124" s="980"/>
      <c r="K124" s="980"/>
      <c r="L124" s="973">
        <f t="shared" si="13"/>
        <v>0</v>
      </c>
      <c r="M124" s="1002"/>
      <c r="N124" s="979"/>
      <c r="O124" s="986"/>
      <c r="P124" s="986"/>
      <c r="Q124" s="986"/>
      <c r="R124" s="986"/>
      <c r="S124" s="985"/>
      <c r="T124" s="986"/>
      <c r="U124" s="986"/>
      <c r="V124" s="986"/>
      <c r="W124" s="986"/>
      <c r="X124" s="1002"/>
    </row>
    <row r="125" spans="1:24">
      <c r="B125" s="610">
        <v>8</v>
      </c>
      <c r="C125" s="602" t="s">
        <v>34</v>
      </c>
      <c r="D125" s="848" t="s">
        <v>659</v>
      </c>
      <c r="E125" s="973">
        <f t="shared" si="11"/>
        <v>212060</v>
      </c>
      <c r="F125" s="973">
        <f t="shared" si="12"/>
        <v>135000</v>
      </c>
      <c r="G125" s="985">
        <v>135000</v>
      </c>
      <c r="H125" s="980"/>
      <c r="I125" s="980"/>
      <c r="J125" s="980"/>
      <c r="K125" s="980"/>
      <c r="L125" s="973">
        <f t="shared" si="13"/>
        <v>77060</v>
      </c>
      <c r="M125" s="1002"/>
      <c r="N125" s="979">
        <v>1200</v>
      </c>
      <c r="O125" s="986">
        <v>1920</v>
      </c>
      <c r="P125" s="986">
        <v>16000</v>
      </c>
      <c r="Q125" s="986"/>
      <c r="R125" s="986"/>
      <c r="S125" s="985">
        <v>3300</v>
      </c>
      <c r="T125" s="986"/>
      <c r="U125" s="986"/>
      <c r="V125" s="986"/>
      <c r="W125" s="986">
        <v>48640</v>
      </c>
      <c r="X125" s="1002">
        <v>6000</v>
      </c>
    </row>
    <row r="126" spans="1:24" ht="48">
      <c r="B126" s="610">
        <v>9</v>
      </c>
      <c r="C126" s="602" t="s">
        <v>34</v>
      </c>
      <c r="D126" s="846" t="s">
        <v>661</v>
      </c>
      <c r="E126" s="973"/>
      <c r="F126" s="973"/>
      <c r="G126" s="985"/>
      <c r="H126" s="980"/>
      <c r="I126" s="980"/>
      <c r="J126" s="980"/>
      <c r="K126" s="980"/>
      <c r="L126" s="973"/>
      <c r="M126" s="1002"/>
      <c r="N126" s="979"/>
      <c r="O126" s="986"/>
      <c r="P126" s="986"/>
      <c r="Q126" s="986"/>
      <c r="R126" s="986"/>
      <c r="S126" s="985"/>
      <c r="T126" s="986"/>
      <c r="U126" s="986"/>
      <c r="V126" s="986"/>
      <c r="W126" s="986"/>
      <c r="X126" s="1002"/>
    </row>
    <row r="127" spans="1:24" ht="48">
      <c r="B127" s="610">
        <v>10</v>
      </c>
      <c r="C127" s="602" t="s">
        <v>34</v>
      </c>
      <c r="D127" s="850" t="s">
        <v>662</v>
      </c>
      <c r="E127" s="973"/>
      <c r="F127" s="973"/>
      <c r="G127" s="985"/>
      <c r="H127" s="980"/>
      <c r="I127" s="980"/>
      <c r="J127" s="980"/>
      <c r="K127" s="980"/>
      <c r="L127" s="973"/>
      <c r="M127" s="1002"/>
      <c r="N127" s="979"/>
      <c r="O127" s="986"/>
      <c r="P127" s="986"/>
      <c r="Q127" s="986"/>
      <c r="R127" s="986"/>
      <c r="S127" s="985"/>
      <c r="T127" s="986"/>
      <c r="U127" s="986"/>
      <c r="V127" s="986"/>
      <c r="W127" s="986"/>
      <c r="X127" s="1002"/>
    </row>
    <row r="128" spans="1:24" ht="24">
      <c r="B128" s="610">
        <v>11</v>
      </c>
      <c r="C128" s="602" t="s">
        <v>34</v>
      </c>
      <c r="D128" s="851" t="s">
        <v>524</v>
      </c>
      <c r="E128" s="973">
        <f t="shared" si="11"/>
        <v>253461</v>
      </c>
      <c r="F128" s="973">
        <f t="shared" si="12"/>
        <v>0</v>
      </c>
      <c r="G128" s="985"/>
      <c r="H128" s="980"/>
      <c r="I128" s="980"/>
      <c r="J128" s="980"/>
      <c r="K128" s="980"/>
      <c r="L128" s="973">
        <f t="shared" si="13"/>
        <v>253461</v>
      </c>
      <c r="M128" s="1002"/>
      <c r="N128" s="979">
        <v>4000</v>
      </c>
      <c r="O128" s="986">
        <v>300</v>
      </c>
      <c r="P128" s="986">
        <v>28800</v>
      </c>
      <c r="Q128" s="985">
        <v>6400</v>
      </c>
      <c r="R128" s="986">
        <v>8121</v>
      </c>
      <c r="S128" s="985">
        <v>7680</v>
      </c>
      <c r="T128" s="986">
        <v>15000</v>
      </c>
      <c r="U128" s="986">
        <v>71520</v>
      </c>
      <c r="V128" s="986">
        <v>37400</v>
      </c>
      <c r="W128" s="986">
        <v>52000</v>
      </c>
      <c r="X128" s="1002">
        <v>22240</v>
      </c>
    </row>
    <row r="129" spans="2:24" ht="48">
      <c r="B129" s="610">
        <v>12</v>
      </c>
      <c r="C129" s="602" t="s">
        <v>34</v>
      </c>
      <c r="D129" s="846" t="s">
        <v>660</v>
      </c>
      <c r="E129" s="973"/>
      <c r="F129" s="973"/>
      <c r="G129" s="985"/>
      <c r="H129" s="980"/>
      <c r="I129" s="980"/>
      <c r="J129" s="980"/>
      <c r="K129" s="980"/>
      <c r="L129" s="973"/>
      <c r="M129" s="981"/>
      <c r="N129" s="979"/>
      <c r="O129" s="985"/>
      <c r="P129" s="985"/>
      <c r="Q129" s="985"/>
      <c r="R129" s="985"/>
      <c r="S129" s="985"/>
      <c r="T129" s="985"/>
      <c r="U129" s="985"/>
      <c r="V129" s="985"/>
      <c r="W129" s="985"/>
      <c r="X129" s="1002"/>
    </row>
    <row r="130" spans="2:24">
      <c r="B130" s="610">
        <v>13</v>
      </c>
      <c r="C130" s="602" t="s">
        <v>34</v>
      </c>
      <c r="D130" s="847" t="s">
        <v>60</v>
      </c>
      <c r="E130" s="973">
        <f t="shared" si="11"/>
        <v>25800</v>
      </c>
      <c r="F130" s="973">
        <f t="shared" si="12"/>
        <v>5000</v>
      </c>
      <c r="G130" s="985">
        <v>5000</v>
      </c>
      <c r="H130" s="980"/>
      <c r="I130" s="980"/>
      <c r="J130" s="980"/>
      <c r="K130" s="980"/>
      <c r="L130" s="973">
        <f t="shared" si="13"/>
        <v>20800</v>
      </c>
      <c r="M130" s="981"/>
      <c r="N130" s="979"/>
      <c r="O130" s="985">
        <v>500</v>
      </c>
      <c r="P130" s="985">
        <v>7800</v>
      </c>
      <c r="Q130" s="985"/>
      <c r="R130" s="985"/>
      <c r="S130" s="985">
        <v>12500</v>
      </c>
      <c r="T130" s="985"/>
      <c r="U130" s="985"/>
      <c r="V130" s="985"/>
      <c r="W130" s="985"/>
      <c r="X130" s="1002"/>
    </row>
    <row r="131" spans="2:24" ht="48">
      <c r="B131" s="610">
        <v>14</v>
      </c>
      <c r="C131" s="602" t="s">
        <v>34</v>
      </c>
      <c r="D131" s="849" t="s">
        <v>542</v>
      </c>
      <c r="E131" s="973">
        <f t="shared" si="11"/>
        <v>110224</v>
      </c>
      <c r="F131" s="973">
        <f t="shared" si="12"/>
        <v>0</v>
      </c>
      <c r="G131" s="985"/>
      <c r="H131" s="980"/>
      <c r="I131" s="980"/>
      <c r="J131" s="980"/>
      <c r="K131" s="980"/>
      <c r="L131" s="973">
        <f t="shared" si="13"/>
        <v>110224</v>
      </c>
      <c r="M131" s="981">
        <v>174</v>
      </c>
      <c r="N131" s="979">
        <v>1500</v>
      </c>
      <c r="O131" s="993">
        <v>220</v>
      </c>
      <c r="P131" s="985">
        <v>12000</v>
      </c>
      <c r="Q131" s="985">
        <v>9000</v>
      </c>
      <c r="R131" s="985"/>
      <c r="S131" s="985">
        <v>29600</v>
      </c>
      <c r="T131" s="985">
        <v>8800</v>
      </c>
      <c r="U131" s="985">
        <v>20000</v>
      </c>
      <c r="V131" s="985">
        <v>10300</v>
      </c>
      <c r="W131" s="985">
        <v>12480</v>
      </c>
      <c r="X131" s="1002">
        <v>6150</v>
      </c>
    </row>
    <row r="132" spans="2:24" ht="36">
      <c r="B132" s="610">
        <v>15</v>
      </c>
      <c r="C132" s="602" t="s">
        <v>34</v>
      </c>
      <c r="D132" s="849" t="s">
        <v>543</v>
      </c>
      <c r="E132" s="973">
        <f t="shared" si="11"/>
        <v>1039120</v>
      </c>
      <c r="F132" s="973">
        <f t="shared" si="12"/>
        <v>0</v>
      </c>
      <c r="G132" s="995"/>
      <c r="H132" s="994"/>
      <c r="I132" s="994"/>
      <c r="J132" s="994"/>
      <c r="K132" s="994"/>
      <c r="L132" s="973">
        <f t="shared" si="13"/>
        <v>1039120</v>
      </c>
      <c r="M132" s="995"/>
      <c r="N132" s="995">
        <v>2500</v>
      </c>
      <c r="O132" s="995">
        <v>20000</v>
      </c>
      <c r="P132" s="995">
        <v>80000</v>
      </c>
      <c r="Q132" s="995">
        <v>110000</v>
      </c>
      <c r="R132" s="995">
        <v>9120</v>
      </c>
      <c r="S132" s="995">
        <v>147000</v>
      </c>
      <c r="T132" s="995">
        <v>162200</v>
      </c>
      <c r="U132" s="995">
        <v>326000</v>
      </c>
      <c r="V132" s="995">
        <v>64400</v>
      </c>
      <c r="W132" s="995">
        <v>57600</v>
      </c>
      <c r="X132" s="995">
        <v>60300</v>
      </c>
    </row>
    <row r="133" spans="2:24" ht="24">
      <c r="B133" s="610">
        <v>16</v>
      </c>
      <c r="C133" s="602" t="s">
        <v>34</v>
      </c>
      <c r="D133" s="852" t="s">
        <v>206</v>
      </c>
      <c r="E133" s="973">
        <f t="shared" si="11"/>
        <v>119658</v>
      </c>
      <c r="F133" s="973">
        <f t="shared" si="12"/>
        <v>0</v>
      </c>
      <c r="G133" s="985"/>
      <c r="H133" s="980"/>
      <c r="I133" s="980"/>
      <c r="J133" s="980"/>
      <c r="K133" s="980"/>
      <c r="L133" s="973">
        <f t="shared" si="13"/>
        <v>119658</v>
      </c>
      <c r="M133" s="981"/>
      <c r="N133" s="979">
        <v>1500</v>
      </c>
      <c r="O133" s="985">
        <v>1158</v>
      </c>
      <c r="P133" s="985">
        <v>5000</v>
      </c>
      <c r="Q133" s="985"/>
      <c r="R133" s="985"/>
      <c r="S133" s="985">
        <v>24000</v>
      </c>
      <c r="T133" s="985"/>
      <c r="U133" s="985">
        <v>20000</v>
      </c>
      <c r="V133" s="985">
        <v>24000</v>
      </c>
      <c r="W133" s="985">
        <v>24000</v>
      </c>
      <c r="X133" s="1002">
        <v>20000</v>
      </c>
    </row>
    <row r="134" spans="2:24" ht="24">
      <c r="B134" s="610">
        <v>17</v>
      </c>
      <c r="C134" s="602" t="s">
        <v>34</v>
      </c>
      <c r="D134" s="851" t="s">
        <v>73</v>
      </c>
      <c r="E134" s="973">
        <f t="shared" si="11"/>
        <v>70300</v>
      </c>
      <c r="F134" s="973">
        <f t="shared" si="12"/>
        <v>15000</v>
      </c>
      <c r="G134" s="985">
        <v>15000</v>
      </c>
      <c r="H134" s="980"/>
      <c r="I134" s="980"/>
      <c r="J134" s="980"/>
      <c r="K134" s="980"/>
      <c r="L134" s="973">
        <f t="shared" si="13"/>
        <v>55300</v>
      </c>
      <c r="M134" s="981"/>
      <c r="N134" s="979">
        <v>2500</v>
      </c>
      <c r="O134" s="985">
        <v>10000</v>
      </c>
      <c r="P134" s="985">
        <v>8000</v>
      </c>
      <c r="Q134" s="985">
        <v>3000</v>
      </c>
      <c r="R134" s="985"/>
      <c r="S134" s="985">
        <v>2000</v>
      </c>
      <c r="T134" s="985">
        <v>5300</v>
      </c>
      <c r="U134" s="985">
        <v>2000</v>
      </c>
      <c r="V134" s="985">
        <v>3000</v>
      </c>
      <c r="W134" s="985">
        <v>3000</v>
      </c>
      <c r="X134" s="1002">
        <v>16500</v>
      </c>
    </row>
    <row r="135" spans="2:24" ht="36">
      <c r="B135" s="610">
        <v>18</v>
      </c>
      <c r="C135" s="602" t="s">
        <v>34</v>
      </c>
      <c r="D135" s="853" t="s">
        <v>619</v>
      </c>
      <c r="E135" s="973"/>
      <c r="F135" s="973"/>
      <c r="G135" s="985"/>
      <c r="H135" s="994"/>
      <c r="I135" s="994"/>
      <c r="J135" s="994"/>
      <c r="K135" s="994"/>
      <c r="L135" s="973"/>
      <c r="M135" s="995"/>
      <c r="N135" s="995"/>
      <c r="O135" s="995"/>
      <c r="P135" s="985"/>
      <c r="Q135" s="985"/>
      <c r="R135" s="985"/>
      <c r="S135" s="985"/>
      <c r="T135" s="985"/>
      <c r="U135" s="985"/>
      <c r="V135" s="985"/>
      <c r="W135" s="985"/>
      <c r="X135" s="986"/>
    </row>
    <row r="136" spans="2:24" ht="24">
      <c r="B136" s="610">
        <v>19</v>
      </c>
      <c r="C136" s="602" t="s">
        <v>34</v>
      </c>
      <c r="D136" s="854" t="s">
        <v>620</v>
      </c>
      <c r="E136" s="973"/>
      <c r="F136" s="973"/>
      <c r="G136" s="985"/>
      <c r="H136" s="980"/>
      <c r="I136" s="980"/>
      <c r="J136" s="980"/>
      <c r="K136" s="980"/>
      <c r="L136" s="973"/>
      <c r="M136" s="979"/>
      <c r="N136" s="979"/>
      <c r="O136" s="979"/>
      <c r="P136" s="985"/>
      <c r="Q136" s="985"/>
      <c r="R136" s="985"/>
      <c r="S136" s="985"/>
      <c r="T136" s="985"/>
      <c r="U136" s="985"/>
      <c r="V136" s="985"/>
      <c r="W136" s="1004"/>
      <c r="X136" s="1002"/>
    </row>
    <row r="137" spans="2:24">
      <c r="B137" s="610">
        <v>20</v>
      </c>
      <c r="C137" s="602" t="s">
        <v>34</v>
      </c>
      <c r="D137" s="832" t="s">
        <v>87</v>
      </c>
      <c r="E137" s="973">
        <f t="shared" ref="E137:E200" si="17">F137+L137</f>
        <v>68780</v>
      </c>
      <c r="F137" s="973">
        <f t="shared" ref="F137:F200" si="18">SUM(G137:K137)</f>
        <v>50000</v>
      </c>
      <c r="G137" s="985">
        <v>50000</v>
      </c>
      <c r="H137" s="980"/>
      <c r="I137" s="980"/>
      <c r="J137" s="980"/>
      <c r="K137" s="980"/>
      <c r="L137" s="973">
        <f t="shared" ref="L137:L200" si="19">SUM(M137:X137)</f>
        <v>18780</v>
      </c>
      <c r="M137" s="979"/>
      <c r="N137" s="979"/>
      <c r="O137" s="979"/>
      <c r="P137" s="985"/>
      <c r="Q137" s="985"/>
      <c r="R137" s="985"/>
      <c r="S137" s="985"/>
      <c r="T137" s="985"/>
      <c r="U137" s="985"/>
      <c r="V137" s="985">
        <v>9900</v>
      </c>
      <c r="W137" s="1004"/>
      <c r="X137" s="1002">
        <v>8880</v>
      </c>
    </row>
    <row r="138" spans="2:24">
      <c r="B138" s="610">
        <v>21</v>
      </c>
      <c r="C138" s="602" t="s">
        <v>34</v>
      </c>
      <c r="D138" s="817" t="s">
        <v>290</v>
      </c>
      <c r="E138" s="973">
        <f t="shared" si="17"/>
        <v>200000</v>
      </c>
      <c r="F138" s="973">
        <f t="shared" si="18"/>
        <v>200000</v>
      </c>
      <c r="G138" s="985">
        <v>200000</v>
      </c>
      <c r="H138" s="980"/>
      <c r="I138" s="980"/>
      <c r="J138" s="980"/>
      <c r="K138" s="980"/>
      <c r="L138" s="973">
        <f t="shared" si="19"/>
        <v>0</v>
      </c>
      <c r="M138" s="979"/>
      <c r="N138" s="979"/>
      <c r="O138" s="979"/>
      <c r="P138" s="985"/>
      <c r="Q138" s="985"/>
      <c r="R138" s="985"/>
      <c r="S138" s="985"/>
      <c r="T138" s="985"/>
      <c r="U138" s="985"/>
      <c r="V138" s="985"/>
      <c r="W138" s="1004"/>
      <c r="X138" s="1002"/>
    </row>
    <row r="139" spans="2:24">
      <c r="B139" s="610">
        <v>22</v>
      </c>
      <c r="C139" s="602" t="s">
        <v>34</v>
      </c>
      <c r="D139" s="817" t="s">
        <v>292</v>
      </c>
      <c r="E139" s="973">
        <f t="shared" si="17"/>
        <v>12075</v>
      </c>
      <c r="F139" s="973">
        <f t="shared" si="18"/>
        <v>0</v>
      </c>
      <c r="G139" s="985"/>
      <c r="H139" s="980"/>
      <c r="I139" s="980"/>
      <c r="J139" s="980"/>
      <c r="K139" s="980"/>
      <c r="L139" s="973">
        <f t="shared" si="19"/>
        <v>12075</v>
      </c>
      <c r="M139" s="979"/>
      <c r="N139" s="979"/>
      <c r="O139" s="979"/>
      <c r="P139" s="985">
        <v>12075</v>
      </c>
      <c r="Q139" s="985"/>
      <c r="R139" s="985"/>
      <c r="S139" s="985"/>
      <c r="T139" s="985"/>
      <c r="U139" s="985"/>
      <c r="V139" s="985"/>
      <c r="W139" s="1004"/>
      <c r="X139" s="1002"/>
    </row>
    <row r="140" spans="2:24">
      <c r="B140" s="610">
        <v>23</v>
      </c>
      <c r="C140" s="602" t="s">
        <v>34</v>
      </c>
      <c r="D140" s="817" t="s">
        <v>291</v>
      </c>
      <c r="E140" s="973">
        <f t="shared" si="17"/>
        <v>63184</v>
      </c>
      <c r="F140" s="973">
        <f t="shared" si="18"/>
        <v>0</v>
      </c>
      <c r="G140" s="985"/>
      <c r="H140" s="980"/>
      <c r="I140" s="980"/>
      <c r="J140" s="980"/>
      <c r="K140" s="980"/>
      <c r="L140" s="973">
        <f t="shared" si="19"/>
        <v>63184</v>
      </c>
      <c r="M140" s="979"/>
      <c r="N140" s="979">
        <v>1500</v>
      </c>
      <c r="O140" s="979"/>
      <c r="P140" s="985">
        <v>12000</v>
      </c>
      <c r="Q140" s="985"/>
      <c r="R140" s="985">
        <v>13924</v>
      </c>
      <c r="S140" s="985">
        <v>5200</v>
      </c>
      <c r="T140" s="985">
        <v>28000</v>
      </c>
      <c r="U140" s="985">
        <v>2560</v>
      </c>
      <c r="V140" s="985"/>
      <c r="W140" s="1004"/>
      <c r="X140" s="1002"/>
    </row>
    <row r="141" spans="2:24">
      <c r="B141" s="610">
        <v>24</v>
      </c>
      <c r="C141" s="602" t="s">
        <v>34</v>
      </c>
      <c r="D141" s="817" t="s">
        <v>525</v>
      </c>
      <c r="E141" s="973">
        <f t="shared" si="17"/>
        <v>57000</v>
      </c>
      <c r="F141" s="973">
        <f t="shared" si="18"/>
        <v>0</v>
      </c>
      <c r="G141" s="985"/>
      <c r="H141" s="980"/>
      <c r="I141" s="980"/>
      <c r="J141" s="980"/>
      <c r="K141" s="980"/>
      <c r="L141" s="973">
        <f t="shared" si="19"/>
        <v>57000</v>
      </c>
      <c r="M141" s="979"/>
      <c r="N141" s="979"/>
      <c r="O141" s="979"/>
      <c r="P141" s="985"/>
      <c r="Q141" s="985"/>
      <c r="R141" s="985"/>
      <c r="S141" s="985">
        <v>57000</v>
      </c>
      <c r="T141" s="985"/>
      <c r="U141" s="985"/>
      <c r="V141" s="985"/>
      <c r="W141" s="1004"/>
      <c r="X141" s="1002"/>
    </row>
    <row r="142" spans="2:24" ht="36">
      <c r="B142" s="610">
        <v>25</v>
      </c>
      <c r="C142" s="602" t="s">
        <v>34</v>
      </c>
      <c r="D142" s="817" t="s">
        <v>526</v>
      </c>
      <c r="E142" s="973">
        <f t="shared" si="17"/>
        <v>23375</v>
      </c>
      <c r="F142" s="973">
        <f t="shared" si="18"/>
        <v>0</v>
      </c>
      <c r="G142" s="985"/>
      <c r="H142" s="980"/>
      <c r="I142" s="980"/>
      <c r="J142" s="980"/>
      <c r="K142" s="980"/>
      <c r="L142" s="973">
        <f t="shared" si="19"/>
        <v>23375</v>
      </c>
      <c r="M142" s="979"/>
      <c r="N142" s="979"/>
      <c r="O142" s="979"/>
      <c r="P142" s="985"/>
      <c r="Q142" s="985"/>
      <c r="R142" s="985"/>
      <c r="S142" s="985">
        <v>10770</v>
      </c>
      <c r="T142" s="985"/>
      <c r="U142" s="985">
        <v>7805</v>
      </c>
      <c r="V142" s="985">
        <v>2400</v>
      </c>
      <c r="W142" s="1004">
        <v>2400</v>
      </c>
      <c r="X142" s="1002"/>
    </row>
    <row r="143" spans="2:24" ht="24">
      <c r="B143" s="610">
        <v>26</v>
      </c>
      <c r="C143" s="602" t="s">
        <v>34</v>
      </c>
      <c r="D143" s="817" t="s">
        <v>527</v>
      </c>
      <c r="E143" s="973">
        <f t="shared" si="17"/>
        <v>111180</v>
      </c>
      <c r="F143" s="973">
        <f t="shared" si="18"/>
        <v>5000</v>
      </c>
      <c r="G143" s="985">
        <v>5000</v>
      </c>
      <c r="H143" s="980"/>
      <c r="I143" s="980"/>
      <c r="J143" s="980"/>
      <c r="K143" s="980"/>
      <c r="L143" s="973">
        <f t="shared" si="19"/>
        <v>106180</v>
      </c>
      <c r="M143" s="979"/>
      <c r="N143" s="979"/>
      <c r="O143" s="979"/>
      <c r="P143" s="985"/>
      <c r="Q143" s="985">
        <v>25480</v>
      </c>
      <c r="R143" s="985"/>
      <c r="S143" s="985">
        <v>68000</v>
      </c>
      <c r="T143" s="985"/>
      <c r="U143" s="985"/>
      <c r="V143" s="985">
        <v>5500</v>
      </c>
      <c r="W143" s="1004">
        <v>7200</v>
      </c>
      <c r="X143" s="1002"/>
    </row>
    <row r="144" spans="2:24">
      <c r="B144" s="610">
        <v>27</v>
      </c>
      <c r="C144" s="602" t="s">
        <v>34</v>
      </c>
      <c r="D144" s="855" t="s">
        <v>528</v>
      </c>
      <c r="E144" s="973">
        <f t="shared" si="17"/>
        <v>105100</v>
      </c>
      <c r="F144" s="973">
        <f t="shared" si="18"/>
        <v>50000</v>
      </c>
      <c r="G144" s="985">
        <v>50000</v>
      </c>
      <c r="H144" s="980"/>
      <c r="I144" s="980"/>
      <c r="J144" s="980"/>
      <c r="K144" s="980"/>
      <c r="L144" s="973">
        <f t="shared" si="19"/>
        <v>55100</v>
      </c>
      <c r="M144" s="979"/>
      <c r="N144" s="979"/>
      <c r="O144" s="979"/>
      <c r="P144" s="985"/>
      <c r="Q144" s="985">
        <v>40000</v>
      </c>
      <c r="R144" s="985">
        <v>15100</v>
      </c>
      <c r="S144" s="985"/>
      <c r="T144" s="985"/>
      <c r="U144" s="985"/>
      <c r="V144" s="985"/>
      <c r="W144" s="1004"/>
      <c r="X144" s="1002"/>
    </row>
    <row r="145" spans="1:24" ht="36">
      <c r="B145" s="610">
        <v>28</v>
      </c>
      <c r="C145" s="602" t="s">
        <v>34</v>
      </c>
      <c r="D145" s="817" t="s">
        <v>529</v>
      </c>
      <c r="E145" s="973">
        <f t="shared" si="17"/>
        <v>20000</v>
      </c>
      <c r="F145" s="973">
        <f t="shared" si="18"/>
        <v>20000</v>
      </c>
      <c r="G145" s="985">
        <v>20000</v>
      </c>
      <c r="H145" s="980"/>
      <c r="I145" s="980"/>
      <c r="J145" s="980"/>
      <c r="K145" s="980"/>
      <c r="L145" s="973">
        <f t="shared" si="19"/>
        <v>0</v>
      </c>
      <c r="M145" s="979"/>
      <c r="N145" s="979"/>
      <c r="O145" s="979"/>
      <c r="P145" s="985"/>
      <c r="Q145" s="985"/>
      <c r="R145" s="985"/>
      <c r="S145" s="985"/>
      <c r="T145" s="985"/>
      <c r="U145" s="985"/>
      <c r="V145" s="985"/>
      <c r="W145" s="1004"/>
      <c r="X145" s="1002"/>
    </row>
    <row r="146" spans="1:24" ht="24">
      <c r="B146" s="610">
        <v>29</v>
      </c>
      <c r="C146" s="602" t="s">
        <v>34</v>
      </c>
      <c r="D146" s="817" t="s">
        <v>530</v>
      </c>
      <c r="E146" s="973">
        <f t="shared" si="17"/>
        <v>30000</v>
      </c>
      <c r="F146" s="973">
        <f t="shared" si="18"/>
        <v>30000</v>
      </c>
      <c r="G146" s="985">
        <v>30000</v>
      </c>
      <c r="H146" s="980"/>
      <c r="I146" s="980"/>
      <c r="J146" s="980"/>
      <c r="K146" s="980"/>
      <c r="L146" s="973">
        <f t="shared" si="19"/>
        <v>0</v>
      </c>
      <c r="M146" s="979"/>
      <c r="N146" s="979"/>
      <c r="O146" s="979"/>
      <c r="P146" s="985"/>
      <c r="Q146" s="985"/>
      <c r="R146" s="985"/>
      <c r="S146" s="985"/>
      <c r="T146" s="985"/>
      <c r="U146" s="985"/>
      <c r="V146" s="985"/>
      <c r="W146" s="1004"/>
      <c r="X146" s="1002"/>
    </row>
    <row r="147" spans="1:24" ht="24">
      <c r="B147" s="610">
        <v>30</v>
      </c>
      <c r="C147" s="602" t="s">
        <v>34</v>
      </c>
      <c r="D147" s="817" t="s">
        <v>531</v>
      </c>
      <c r="E147" s="973">
        <f t="shared" si="17"/>
        <v>25000</v>
      </c>
      <c r="F147" s="973">
        <f t="shared" si="18"/>
        <v>25000</v>
      </c>
      <c r="G147" s="985">
        <v>25000</v>
      </c>
      <c r="H147" s="980"/>
      <c r="I147" s="980"/>
      <c r="J147" s="980"/>
      <c r="K147" s="980"/>
      <c r="L147" s="973">
        <f t="shared" si="19"/>
        <v>0</v>
      </c>
      <c r="M147" s="979"/>
      <c r="N147" s="979"/>
      <c r="O147" s="979"/>
      <c r="P147" s="985"/>
      <c r="Q147" s="985"/>
      <c r="R147" s="985"/>
      <c r="S147" s="985"/>
      <c r="T147" s="985"/>
      <c r="U147" s="985"/>
      <c r="V147" s="985"/>
      <c r="W147" s="1004"/>
      <c r="X147" s="1002"/>
    </row>
    <row r="148" spans="1:24">
      <c r="B148" s="610">
        <v>31</v>
      </c>
      <c r="C148" s="602" t="s">
        <v>34</v>
      </c>
      <c r="D148" s="817" t="s">
        <v>532</v>
      </c>
      <c r="E148" s="973">
        <f t="shared" si="17"/>
        <v>5000</v>
      </c>
      <c r="F148" s="973">
        <f t="shared" si="18"/>
        <v>5000</v>
      </c>
      <c r="G148" s="985">
        <v>5000</v>
      </c>
      <c r="H148" s="980"/>
      <c r="I148" s="980"/>
      <c r="J148" s="980"/>
      <c r="K148" s="980"/>
      <c r="L148" s="973">
        <f t="shared" si="19"/>
        <v>0</v>
      </c>
      <c r="M148" s="979"/>
      <c r="N148" s="979"/>
      <c r="O148" s="979"/>
      <c r="P148" s="985"/>
      <c r="Q148" s="985"/>
      <c r="R148" s="985"/>
      <c r="S148" s="985"/>
      <c r="T148" s="985"/>
      <c r="U148" s="985"/>
      <c r="V148" s="985"/>
      <c r="W148" s="1004"/>
      <c r="X148" s="1002"/>
    </row>
    <row r="149" spans="1:24" s="5" customFormat="1" ht="48">
      <c r="A149" s="5">
        <v>3</v>
      </c>
      <c r="B149" s="614">
        <v>3</v>
      </c>
      <c r="C149" s="596" t="s">
        <v>34</v>
      </c>
      <c r="D149" s="823" t="s">
        <v>235</v>
      </c>
      <c r="E149" s="990">
        <f t="shared" si="17"/>
        <v>2510766.2039999999</v>
      </c>
      <c r="F149" s="990">
        <f t="shared" si="18"/>
        <v>986000</v>
      </c>
      <c r="G149" s="974">
        <f>G150+G163+G186+G205</f>
        <v>986000</v>
      </c>
      <c r="H149" s="975">
        <f>H150+H163+H186+H205</f>
        <v>0</v>
      </c>
      <c r="I149" s="975">
        <f>I150+I163+I186+I205</f>
        <v>0</v>
      </c>
      <c r="J149" s="975">
        <f>J150+J163+J186+J205</f>
        <v>0</v>
      </c>
      <c r="K149" s="975">
        <f>K150+K163+K186+K205</f>
        <v>0</v>
      </c>
      <c r="L149" s="990">
        <f t="shared" si="19"/>
        <v>1524766.2039999999</v>
      </c>
      <c r="M149" s="974">
        <f t="shared" ref="M149:X149" si="20">M150+M163+M186+M205</f>
        <v>195066</v>
      </c>
      <c r="N149" s="974">
        <f t="shared" si="20"/>
        <v>116754.204</v>
      </c>
      <c r="O149" s="974">
        <f t="shared" si="20"/>
        <v>109844</v>
      </c>
      <c r="P149" s="974">
        <f t="shared" si="20"/>
        <v>144881</v>
      </c>
      <c r="Q149" s="974">
        <f t="shared" si="20"/>
        <v>109258</v>
      </c>
      <c r="R149" s="974">
        <f t="shared" si="20"/>
        <v>80530</v>
      </c>
      <c r="S149" s="974">
        <f t="shared" si="20"/>
        <v>110115</v>
      </c>
      <c r="T149" s="974">
        <f t="shared" si="20"/>
        <v>214610</v>
      </c>
      <c r="U149" s="974">
        <f t="shared" si="20"/>
        <v>213608</v>
      </c>
      <c r="V149" s="974">
        <f t="shared" si="20"/>
        <v>69680</v>
      </c>
      <c r="W149" s="974">
        <f t="shared" si="20"/>
        <v>32820</v>
      </c>
      <c r="X149" s="974">
        <f t="shared" si="20"/>
        <v>127600</v>
      </c>
    </row>
    <row r="150" spans="1:24" s="13" customFormat="1" ht="24">
      <c r="A150" s="13" t="s">
        <v>806</v>
      </c>
      <c r="B150" s="607" t="s">
        <v>245</v>
      </c>
      <c r="C150" s="599" t="s">
        <v>34</v>
      </c>
      <c r="D150" s="856" t="s">
        <v>23</v>
      </c>
      <c r="E150" s="976">
        <f t="shared" si="17"/>
        <v>440988</v>
      </c>
      <c r="F150" s="976">
        <f t="shared" si="18"/>
        <v>160000</v>
      </c>
      <c r="G150" s="977">
        <f>SUM(G151:G162)</f>
        <v>160000</v>
      </c>
      <c r="H150" s="978">
        <f t="shared" ref="H150:X150" si="21">SUM(H151:H162)</f>
        <v>0</v>
      </c>
      <c r="I150" s="978">
        <f t="shared" si="21"/>
        <v>0</v>
      </c>
      <c r="J150" s="978">
        <f t="shared" si="21"/>
        <v>0</v>
      </c>
      <c r="K150" s="978">
        <f t="shared" si="21"/>
        <v>0</v>
      </c>
      <c r="L150" s="976">
        <f t="shared" si="19"/>
        <v>280988</v>
      </c>
      <c r="M150" s="977">
        <f t="shared" si="21"/>
        <v>41700</v>
      </c>
      <c r="N150" s="977">
        <f t="shared" si="21"/>
        <v>52060</v>
      </c>
      <c r="O150" s="977">
        <f t="shared" si="21"/>
        <v>36360</v>
      </c>
      <c r="P150" s="977">
        <f t="shared" si="21"/>
        <v>26600</v>
      </c>
      <c r="Q150" s="977">
        <f t="shared" si="21"/>
        <v>24236</v>
      </c>
      <c r="R150" s="977">
        <f t="shared" si="21"/>
        <v>1700</v>
      </c>
      <c r="S150" s="977">
        <f t="shared" si="21"/>
        <v>20760</v>
      </c>
      <c r="T150" s="977">
        <f t="shared" si="21"/>
        <v>22320</v>
      </c>
      <c r="U150" s="977">
        <f t="shared" si="21"/>
        <v>29872</v>
      </c>
      <c r="V150" s="977">
        <f t="shared" si="21"/>
        <v>7500</v>
      </c>
      <c r="W150" s="977">
        <f t="shared" si="21"/>
        <v>3600</v>
      </c>
      <c r="X150" s="977">
        <f t="shared" si="21"/>
        <v>14280</v>
      </c>
    </row>
    <row r="151" spans="1:24" s="8" customFormat="1" ht="48">
      <c r="B151" s="606">
        <v>1</v>
      </c>
      <c r="C151" s="602" t="s">
        <v>34</v>
      </c>
      <c r="D151" s="846" t="s">
        <v>663</v>
      </c>
      <c r="E151" s="1005"/>
      <c r="F151" s="1005"/>
      <c r="G151" s="979"/>
      <c r="H151" s="980"/>
      <c r="I151" s="980"/>
      <c r="J151" s="980"/>
      <c r="K151" s="980"/>
      <c r="L151" s="1005"/>
      <c r="M151" s="979"/>
      <c r="N151" s="979"/>
      <c r="O151" s="983"/>
      <c r="P151" s="979"/>
      <c r="Q151" s="979"/>
      <c r="R151" s="979"/>
      <c r="S151" s="979"/>
      <c r="T151" s="979"/>
      <c r="U151" s="979"/>
      <c r="V151" s="979"/>
      <c r="W151" s="979"/>
      <c r="X151" s="979"/>
    </row>
    <row r="152" spans="1:24" s="8" customFormat="1" ht="36">
      <c r="B152" s="606">
        <v>2</v>
      </c>
      <c r="C152" s="602" t="s">
        <v>34</v>
      </c>
      <c r="D152" s="832" t="s">
        <v>430</v>
      </c>
      <c r="E152" s="1005">
        <f t="shared" si="17"/>
        <v>44080</v>
      </c>
      <c r="F152" s="1005">
        <f t="shared" si="18"/>
        <v>21520</v>
      </c>
      <c r="G152" s="981">
        <v>21520</v>
      </c>
      <c r="H152" s="980"/>
      <c r="I152" s="980"/>
      <c r="J152" s="980"/>
      <c r="K152" s="980"/>
      <c r="L152" s="1005">
        <f t="shared" si="19"/>
        <v>22560</v>
      </c>
      <c r="M152" s="981"/>
      <c r="N152" s="979"/>
      <c r="O152" s="981">
        <v>2360</v>
      </c>
      <c r="P152" s="981"/>
      <c r="Q152" s="981">
        <v>2500</v>
      </c>
      <c r="R152" s="981">
        <v>1700</v>
      </c>
      <c r="S152" s="981">
        <v>4000</v>
      </c>
      <c r="T152" s="981"/>
      <c r="U152" s="981">
        <v>10000</v>
      </c>
      <c r="V152" s="981">
        <v>2000</v>
      </c>
      <c r="W152" s="981"/>
      <c r="X152" s="981"/>
    </row>
    <row r="153" spans="1:24" s="8" customFormat="1" ht="36">
      <c r="B153" s="606">
        <v>3</v>
      </c>
      <c r="C153" s="602" t="s">
        <v>34</v>
      </c>
      <c r="D153" s="832" t="s">
        <v>431</v>
      </c>
      <c r="E153" s="1005">
        <f t="shared" si="17"/>
        <v>26960</v>
      </c>
      <c r="F153" s="1005">
        <f t="shared" si="18"/>
        <v>0</v>
      </c>
      <c r="G153" s="981"/>
      <c r="H153" s="980"/>
      <c r="I153" s="980"/>
      <c r="J153" s="980"/>
      <c r="K153" s="980"/>
      <c r="L153" s="1005">
        <f t="shared" si="19"/>
        <v>26960</v>
      </c>
      <c r="M153" s="981">
        <v>3300</v>
      </c>
      <c r="N153" s="979">
        <v>2500</v>
      </c>
      <c r="O153" s="981"/>
      <c r="P153" s="981">
        <v>4600</v>
      </c>
      <c r="Q153" s="981"/>
      <c r="R153" s="981"/>
      <c r="S153" s="981">
        <v>5560</v>
      </c>
      <c r="T153" s="981">
        <v>3280</v>
      </c>
      <c r="U153" s="981">
        <v>2760</v>
      </c>
      <c r="V153" s="981">
        <v>2800</v>
      </c>
      <c r="W153" s="981">
        <v>2160</v>
      </c>
      <c r="X153" s="981"/>
    </row>
    <row r="154" spans="1:24" s="8" customFormat="1" ht="36">
      <c r="B154" s="606">
        <v>4</v>
      </c>
      <c r="C154" s="602" t="s">
        <v>34</v>
      </c>
      <c r="D154" s="832" t="s">
        <v>432</v>
      </c>
      <c r="E154" s="1005">
        <f t="shared" si="17"/>
        <v>67480</v>
      </c>
      <c r="F154" s="1005">
        <f t="shared" si="18"/>
        <v>41280</v>
      </c>
      <c r="G154" s="981">
        <v>41280</v>
      </c>
      <c r="H154" s="980"/>
      <c r="I154" s="980"/>
      <c r="J154" s="980"/>
      <c r="K154" s="980"/>
      <c r="L154" s="1005">
        <f t="shared" si="19"/>
        <v>26200</v>
      </c>
      <c r="M154" s="981"/>
      <c r="N154" s="979">
        <v>8500</v>
      </c>
      <c r="O154" s="981"/>
      <c r="P154" s="981"/>
      <c r="Q154" s="981">
        <v>15000</v>
      </c>
      <c r="R154" s="981"/>
      <c r="S154" s="981"/>
      <c r="T154" s="981"/>
      <c r="U154" s="981"/>
      <c r="V154" s="981">
        <v>2700</v>
      </c>
      <c r="W154" s="981"/>
      <c r="X154" s="981"/>
    </row>
    <row r="155" spans="1:24" s="8" customFormat="1" ht="24">
      <c r="B155" s="606">
        <v>5</v>
      </c>
      <c r="C155" s="602" t="s">
        <v>34</v>
      </c>
      <c r="D155" s="857" t="s">
        <v>433</v>
      </c>
      <c r="E155" s="1005">
        <f t="shared" si="17"/>
        <v>160368</v>
      </c>
      <c r="F155" s="1005">
        <f t="shared" si="18"/>
        <v>97200</v>
      </c>
      <c r="G155" s="981">
        <v>97200</v>
      </c>
      <c r="H155" s="980"/>
      <c r="I155" s="980"/>
      <c r="J155" s="980"/>
      <c r="K155" s="980"/>
      <c r="L155" s="1005">
        <f t="shared" si="19"/>
        <v>63168</v>
      </c>
      <c r="M155" s="981"/>
      <c r="N155" s="979">
        <v>960</v>
      </c>
      <c r="O155" s="981"/>
      <c r="P155" s="981">
        <v>14000</v>
      </c>
      <c r="Q155" s="981">
        <v>6736</v>
      </c>
      <c r="R155" s="981"/>
      <c r="S155" s="981">
        <v>1200</v>
      </c>
      <c r="T155" s="981">
        <v>7440</v>
      </c>
      <c r="U155" s="981">
        <v>17112</v>
      </c>
      <c r="V155" s="981"/>
      <c r="W155" s="981">
        <v>1440</v>
      </c>
      <c r="X155" s="981">
        <v>14280</v>
      </c>
    </row>
    <row r="156" spans="1:24" s="8" customFormat="1" ht="48">
      <c r="B156" s="606">
        <v>6</v>
      </c>
      <c r="C156" s="602" t="s">
        <v>34</v>
      </c>
      <c r="D156" s="858" t="s">
        <v>434</v>
      </c>
      <c r="E156" s="1005"/>
      <c r="F156" s="1005"/>
      <c r="G156" s="981"/>
      <c r="H156" s="980"/>
      <c r="I156" s="980"/>
      <c r="J156" s="980"/>
      <c r="K156" s="980"/>
      <c r="L156" s="1005"/>
      <c r="M156" s="981"/>
      <c r="N156" s="979"/>
      <c r="O156" s="981"/>
      <c r="P156" s="981"/>
      <c r="Q156" s="981"/>
      <c r="R156" s="981"/>
      <c r="S156" s="981"/>
      <c r="T156" s="981"/>
      <c r="U156" s="981"/>
      <c r="V156" s="981"/>
      <c r="W156" s="981"/>
      <c r="X156" s="981"/>
    </row>
    <row r="157" spans="1:24" s="8" customFormat="1" ht="24">
      <c r="B157" s="606">
        <v>7</v>
      </c>
      <c r="C157" s="602" t="s">
        <v>34</v>
      </c>
      <c r="D157" s="858" t="s">
        <v>435</v>
      </c>
      <c r="E157" s="1005"/>
      <c r="F157" s="1005"/>
      <c r="G157" s="981"/>
      <c r="H157" s="980"/>
      <c r="I157" s="980"/>
      <c r="J157" s="980"/>
      <c r="K157" s="980"/>
      <c r="L157" s="1005"/>
      <c r="M157" s="981"/>
      <c r="N157" s="979"/>
      <c r="O157" s="981"/>
      <c r="P157" s="981"/>
      <c r="Q157" s="981"/>
      <c r="R157" s="981"/>
      <c r="S157" s="981"/>
      <c r="T157" s="981"/>
      <c r="U157" s="981"/>
      <c r="V157" s="981"/>
      <c r="W157" s="981"/>
      <c r="X157" s="981"/>
    </row>
    <row r="158" spans="1:24" s="8" customFormat="1" ht="24">
      <c r="B158" s="606">
        <v>8</v>
      </c>
      <c r="C158" s="602" t="s">
        <v>34</v>
      </c>
      <c r="D158" s="858" t="s">
        <v>436</v>
      </c>
      <c r="E158" s="1005"/>
      <c r="F158" s="1005"/>
      <c r="G158" s="981"/>
      <c r="H158" s="980"/>
      <c r="I158" s="980"/>
      <c r="J158" s="980"/>
      <c r="K158" s="980"/>
      <c r="L158" s="1005"/>
      <c r="M158" s="981"/>
      <c r="N158" s="979"/>
      <c r="O158" s="981"/>
      <c r="P158" s="981"/>
      <c r="Q158" s="981"/>
      <c r="R158" s="981"/>
      <c r="S158" s="981"/>
      <c r="T158" s="981"/>
      <c r="U158" s="981"/>
      <c r="V158" s="981"/>
      <c r="W158" s="981"/>
      <c r="X158" s="981"/>
    </row>
    <row r="159" spans="1:24" s="8" customFormat="1" ht="36">
      <c r="B159" s="606">
        <v>9</v>
      </c>
      <c r="C159" s="602" t="s">
        <v>34</v>
      </c>
      <c r="D159" s="858" t="s">
        <v>437</v>
      </c>
      <c r="E159" s="1005">
        <f t="shared" si="17"/>
        <v>19600</v>
      </c>
      <c r="F159" s="1005">
        <f t="shared" si="18"/>
        <v>0</v>
      </c>
      <c r="G159" s="981"/>
      <c r="H159" s="980"/>
      <c r="I159" s="980"/>
      <c r="J159" s="980"/>
      <c r="K159" s="980"/>
      <c r="L159" s="1005">
        <f t="shared" si="19"/>
        <v>19600</v>
      </c>
      <c r="M159" s="981"/>
      <c r="N159" s="979"/>
      <c r="O159" s="981"/>
      <c r="P159" s="981">
        <v>8000</v>
      </c>
      <c r="Q159" s="981"/>
      <c r="R159" s="981"/>
      <c r="S159" s="981"/>
      <c r="T159" s="981">
        <v>11600</v>
      </c>
      <c r="U159" s="981"/>
      <c r="V159" s="981"/>
      <c r="W159" s="981"/>
      <c r="X159" s="981"/>
    </row>
    <row r="160" spans="1:24" s="617" customFormat="1">
      <c r="B160" s="615">
        <v>10</v>
      </c>
      <c r="C160" s="616" t="s">
        <v>34</v>
      </c>
      <c r="D160" s="859" t="s">
        <v>664</v>
      </c>
      <c r="E160" s="1006"/>
      <c r="F160" s="1006"/>
      <c r="G160" s="1007"/>
      <c r="H160" s="1008"/>
      <c r="I160" s="1008"/>
      <c r="J160" s="1008"/>
      <c r="K160" s="1008"/>
      <c r="L160" s="1006"/>
      <c r="M160" s="1007"/>
      <c r="N160" s="1009"/>
      <c r="O160" s="1007"/>
      <c r="P160" s="1007"/>
      <c r="Q160" s="1007"/>
      <c r="R160" s="1007"/>
      <c r="S160" s="1007"/>
      <c r="T160" s="1007"/>
      <c r="U160" s="1007"/>
      <c r="V160" s="1007"/>
      <c r="W160" s="1007"/>
      <c r="X160" s="1007"/>
    </row>
    <row r="161" spans="1:24" s="8" customFormat="1" ht="108">
      <c r="B161" s="606">
        <v>11</v>
      </c>
      <c r="C161" s="602" t="s">
        <v>34</v>
      </c>
      <c r="D161" s="858" t="s">
        <v>439</v>
      </c>
      <c r="E161" s="1005">
        <f t="shared" si="17"/>
        <v>82400</v>
      </c>
      <c r="F161" s="1005">
        <f t="shared" si="18"/>
        <v>0</v>
      </c>
      <c r="G161" s="981"/>
      <c r="H161" s="980"/>
      <c r="I161" s="980"/>
      <c r="J161" s="980"/>
      <c r="K161" s="980"/>
      <c r="L161" s="1005">
        <f t="shared" si="19"/>
        <v>82400</v>
      </c>
      <c r="M161" s="981">
        <v>38400</v>
      </c>
      <c r="N161" s="979"/>
      <c r="O161" s="981">
        <v>34000</v>
      </c>
      <c r="P161" s="981"/>
      <c r="Q161" s="981"/>
      <c r="R161" s="981"/>
      <c r="S161" s="981">
        <v>10000</v>
      </c>
      <c r="T161" s="981"/>
      <c r="U161" s="981"/>
      <c r="V161" s="981"/>
      <c r="W161" s="981"/>
      <c r="X161" s="981"/>
    </row>
    <row r="162" spans="1:24" s="8" customFormat="1" ht="36">
      <c r="B162" s="606">
        <v>12</v>
      </c>
      <c r="C162" s="602" t="s">
        <v>34</v>
      </c>
      <c r="D162" s="817" t="s">
        <v>665</v>
      </c>
      <c r="E162" s="1005">
        <f t="shared" si="17"/>
        <v>40100</v>
      </c>
      <c r="F162" s="1005">
        <f t="shared" si="18"/>
        <v>0</v>
      </c>
      <c r="G162" s="981"/>
      <c r="H162" s="980"/>
      <c r="I162" s="980"/>
      <c r="J162" s="980"/>
      <c r="K162" s="980"/>
      <c r="L162" s="1005">
        <f t="shared" si="19"/>
        <v>40100</v>
      </c>
      <c r="M162" s="981"/>
      <c r="N162" s="979">
        <v>40100</v>
      </c>
      <c r="O162" s="981"/>
      <c r="P162" s="981"/>
      <c r="Q162" s="981"/>
      <c r="R162" s="981"/>
      <c r="S162" s="981"/>
      <c r="T162" s="981"/>
      <c r="U162" s="981"/>
      <c r="V162" s="981"/>
      <c r="W162" s="981"/>
      <c r="X162" s="981"/>
    </row>
    <row r="163" spans="1:24" s="7" customFormat="1" ht="24">
      <c r="A163" s="7" t="s">
        <v>807</v>
      </c>
      <c r="B163" s="607" t="s">
        <v>246</v>
      </c>
      <c r="C163" s="599" t="s">
        <v>34</v>
      </c>
      <c r="D163" s="824" t="s">
        <v>304</v>
      </c>
      <c r="E163" s="976">
        <f t="shared" si="17"/>
        <v>457840</v>
      </c>
      <c r="F163" s="976">
        <f t="shared" si="18"/>
        <v>181000</v>
      </c>
      <c r="G163" s="977">
        <f>SUM(G164:G185)</f>
        <v>181000</v>
      </c>
      <c r="H163" s="978">
        <f t="shared" ref="H163:X163" si="22">SUM(H164:H185)</f>
        <v>0</v>
      </c>
      <c r="I163" s="978">
        <f t="shared" si="22"/>
        <v>0</v>
      </c>
      <c r="J163" s="978">
        <f t="shared" si="22"/>
        <v>0</v>
      </c>
      <c r="K163" s="978">
        <f t="shared" si="22"/>
        <v>0</v>
      </c>
      <c r="L163" s="976">
        <f t="shared" si="19"/>
        <v>276840</v>
      </c>
      <c r="M163" s="977">
        <f t="shared" si="22"/>
        <v>29475</v>
      </c>
      <c r="N163" s="977">
        <f t="shared" si="22"/>
        <v>9360</v>
      </c>
      <c r="O163" s="977">
        <f t="shared" si="22"/>
        <v>19180</v>
      </c>
      <c r="P163" s="977">
        <f t="shared" si="22"/>
        <v>9750</v>
      </c>
      <c r="Q163" s="977">
        <f t="shared" si="22"/>
        <v>32516</v>
      </c>
      <c r="R163" s="977">
        <f t="shared" si="22"/>
        <v>30380</v>
      </c>
      <c r="S163" s="977">
        <f t="shared" si="22"/>
        <v>12135</v>
      </c>
      <c r="T163" s="977">
        <f t="shared" si="22"/>
        <v>19752</v>
      </c>
      <c r="U163" s="977">
        <f t="shared" si="22"/>
        <v>40872</v>
      </c>
      <c r="V163" s="977">
        <f t="shared" si="22"/>
        <v>30600</v>
      </c>
      <c r="W163" s="977">
        <f t="shared" si="22"/>
        <v>18240</v>
      </c>
      <c r="X163" s="977">
        <f t="shared" si="22"/>
        <v>24580</v>
      </c>
    </row>
    <row r="164" spans="1:24" s="8" customFormat="1" ht="60">
      <c r="B164" s="606">
        <v>1</v>
      </c>
      <c r="C164" s="602" t="s">
        <v>34</v>
      </c>
      <c r="D164" s="846" t="s">
        <v>666</v>
      </c>
      <c r="E164" s="1005"/>
      <c r="F164" s="1005"/>
      <c r="G164" s="979"/>
      <c r="H164" s="980"/>
      <c r="I164" s="980"/>
      <c r="J164" s="980"/>
      <c r="K164" s="980"/>
      <c r="L164" s="1005"/>
      <c r="M164" s="979"/>
      <c r="N164" s="979"/>
      <c r="O164" s="983"/>
      <c r="P164" s="979"/>
      <c r="Q164" s="979"/>
      <c r="R164" s="979"/>
      <c r="S164" s="979"/>
      <c r="T164" s="979"/>
      <c r="U164" s="979"/>
      <c r="V164" s="979"/>
      <c r="W164" s="979"/>
      <c r="X164" s="979"/>
    </row>
    <row r="165" spans="1:24" s="8" customFormat="1" ht="72">
      <c r="B165" s="606">
        <v>1</v>
      </c>
      <c r="C165" s="602" t="s">
        <v>34</v>
      </c>
      <c r="D165" s="860" t="s">
        <v>74</v>
      </c>
      <c r="E165" s="1005">
        <f t="shared" si="17"/>
        <v>70770</v>
      </c>
      <c r="F165" s="1005">
        <f t="shared" si="18"/>
        <v>16740</v>
      </c>
      <c r="G165" s="981">
        <v>16740</v>
      </c>
      <c r="H165" s="980"/>
      <c r="I165" s="980"/>
      <c r="J165" s="980"/>
      <c r="K165" s="980"/>
      <c r="L165" s="1005">
        <f t="shared" si="19"/>
        <v>54030</v>
      </c>
      <c r="M165" s="981">
        <v>6600</v>
      </c>
      <c r="N165" s="979"/>
      <c r="O165" s="981">
        <v>1180</v>
      </c>
      <c r="P165" s="981">
        <v>4600</v>
      </c>
      <c r="Q165" s="979">
        <v>2850</v>
      </c>
      <c r="R165" s="981">
        <v>13740</v>
      </c>
      <c r="S165" s="981">
        <v>5300</v>
      </c>
      <c r="T165" s="979">
        <v>3200</v>
      </c>
      <c r="U165" s="979">
        <v>5760</v>
      </c>
      <c r="V165" s="992">
        <v>2860</v>
      </c>
      <c r="W165" s="981">
        <v>4800</v>
      </c>
      <c r="X165" s="979">
        <v>3140</v>
      </c>
    </row>
    <row r="166" spans="1:24" s="8" customFormat="1" ht="60">
      <c r="B166" s="606">
        <v>2</v>
      </c>
      <c r="C166" s="602" t="s">
        <v>34</v>
      </c>
      <c r="D166" s="860" t="s">
        <v>75</v>
      </c>
      <c r="E166" s="1005">
        <f t="shared" si="17"/>
        <v>79800</v>
      </c>
      <c r="F166" s="1005">
        <f t="shared" si="18"/>
        <v>0</v>
      </c>
      <c r="G166" s="992"/>
      <c r="H166" s="980"/>
      <c r="I166" s="980"/>
      <c r="J166" s="980"/>
      <c r="K166" s="980"/>
      <c r="L166" s="1005">
        <f t="shared" si="19"/>
        <v>79800</v>
      </c>
      <c r="M166" s="981">
        <v>21600</v>
      </c>
      <c r="N166" s="979">
        <v>7200</v>
      </c>
      <c r="O166" s="981"/>
      <c r="P166" s="992"/>
      <c r="Q166" s="1002"/>
      <c r="R166" s="992"/>
      <c r="S166" s="981"/>
      <c r="T166" s="1002">
        <v>4800</v>
      </c>
      <c r="U166" s="979">
        <v>8400</v>
      </c>
      <c r="V166" s="992">
        <v>19800</v>
      </c>
      <c r="W166" s="981">
        <v>10800</v>
      </c>
      <c r="X166" s="1002">
        <v>7200</v>
      </c>
    </row>
    <row r="167" spans="1:24" s="8" customFormat="1" ht="24">
      <c r="B167" s="606">
        <v>3</v>
      </c>
      <c r="C167" s="602" t="s">
        <v>34</v>
      </c>
      <c r="D167" s="833" t="s">
        <v>667</v>
      </c>
      <c r="E167" s="1005"/>
      <c r="F167" s="1005"/>
      <c r="G167" s="992"/>
      <c r="H167" s="980"/>
      <c r="I167" s="980"/>
      <c r="J167" s="980"/>
      <c r="K167" s="980"/>
      <c r="L167" s="1005"/>
      <c r="M167" s="981"/>
      <c r="N167" s="979"/>
      <c r="O167" s="981"/>
      <c r="P167" s="992"/>
      <c r="Q167" s="1002"/>
      <c r="R167" s="992"/>
      <c r="S167" s="981"/>
      <c r="T167" s="1002"/>
      <c r="U167" s="979"/>
      <c r="V167" s="981"/>
      <c r="W167" s="979"/>
      <c r="X167" s="1002"/>
    </row>
    <row r="168" spans="1:24" s="8" customFormat="1" ht="24">
      <c r="B168" s="606">
        <v>4</v>
      </c>
      <c r="C168" s="602" t="s">
        <v>34</v>
      </c>
      <c r="D168" s="860" t="s">
        <v>77</v>
      </c>
      <c r="E168" s="1005">
        <f t="shared" si="17"/>
        <v>16335</v>
      </c>
      <c r="F168" s="1005">
        <f t="shared" si="18"/>
        <v>10000</v>
      </c>
      <c r="G168" s="981">
        <v>10000</v>
      </c>
      <c r="H168" s="980"/>
      <c r="I168" s="980"/>
      <c r="J168" s="980"/>
      <c r="K168" s="980"/>
      <c r="L168" s="1005">
        <f t="shared" si="19"/>
        <v>6335</v>
      </c>
      <c r="M168" s="981"/>
      <c r="N168" s="979"/>
      <c r="O168" s="992">
        <v>1400</v>
      </c>
      <c r="P168" s="992"/>
      <c r="Q168" s="1002"/>
      <c r="R168" s="981"/>
      <c r="S168" s="981">
        <v>2235</v>
      </c>
      <c r="T168" s="981"/>
      <c r="U168" s="979">
        <v>500</v>
      </c>
      <c r="V168" s="981"/>
      <c r="W168" s="979">
        <v>1200</v>
      </c>
      <c r="X168" s="1002">
        <v>1000</v>
      </c>
    </row>
    <row r="169" spans="1:24" s="8" customFormat="1" ht="24">
      <c r="B169" s="606">
        <v>5</v>
      </c>
      <c r="C169" s="602" t="s">
        <v>34</v>
      </c>
      <c r="D169" s="860" t="s">
        <v>78</v>
      </c>
      <c r="E169" s="1005">
        <f t="shared" si="17"/>
        <v>28800</v>
      </c>
      <c r="F169" s="1005">
        <f t="shared" si="18"/>
        <v>0</v>
      </c>
      <c r="G169" s="981"/>
      <c r="H169" s="980"/>
      <c r="I169" s="980"/>
      <c r="J169" s="980"/>
      <c r="K169" s="980"/>
      <c r="L169" s="1005">
        <f t="shared" si="19"/>
        <v>28800</v>
      </c>
      <c r="M169" s="981">
        <v>300</v>
      </c>
      <c r="N169" s="979"/>
      <c r="O169" s="981">
        <v>15000</v>
      </c>
      <c r="P169" s="981"/>
      <c r="Q169" s="1002">
        <v>8000</v>
      </c>
      <c r="R169" s="981">
        <v>4000</v>
      </c>
      <c r="S169" s="981"/>
      <c r="T169" s="981"/>
      <c r="U169" s="979">
        <v>100</v>
      </c>
      <c r="V169" s="981"/>
      <c r="W169" s="979"/>
      <c r="X169" s="1002">
        <v>1400</v>
      </c>
    </row>
    <row r="170" spans="1:24" s="8" customFormat="1">
      <c r="B170" s="606">
        <v>6</v>
      </c>
      <c r="C170" s="602" t="s">
        <v>34</v>
      </c>
      <c r="D170" s="860" t="s">
        <v>79</v>
      </c>
      <c r="E170" s="1005">
        <f t="shared" si="17"/>
        <v>14875</v>
      </c>
      <c r="F170" s="1005">
        <f t="shared" si="18"/>
        <v>0</v>
      </c>
      <c r="G170" s="992"/>
      <c r="H170" s="980"/>
      <c r="I170" s="980"/>
      <c r="J170" s="980"/>
      <c r="K170" s="980"/>
      <c r="L170" s="1005">
        <f t="shared" si="19"/>
        <v>14875</v>
      </c>
      <c r="M170" s="981">
        <v>975</v>
      </c>
      <c r="N170" s="979"/>
      <c r="O170" s="981"/>
      <c r="P170" s="992"/>
      <c r="Q170" s="1002">
        <v>8000</v>
      </c>
      <c r="R170" s="981">
        <v>4000</v>
      </c>
      <c r="S170" s="981"/>
      <c r="T170" s="981"/>
      <c r="U170" s="979">
        <v>500</v>
      </c>
      <c r="V170" s="981"/>
      <c r="W170" s="979"/>
      <c r="X170" s="979">
        <v>1400</v>
      </c>
    </row>
    <row r="171" spans="1:24" s="8" customFormat="1" ht="24">
      <c r="B171" s="606">
        <v>7</v>
      </c>
      <c r="C171" s="602" t="s">
        <v>34</v>
      </c>
      <c r="D171" s="860" t="s">
        <v>80</v>
      </c>
      <c r="E171" s="1005">
        <f t="shared" si="17"/>
        <v>19200</v>
      </c>
      <c r="F171" s="1005">
        <f t="shared" si="18"/>
        <v>10000</v>
      </c>
      <c r="G171" s="981">
        <v>10000</v>
      </c>
      <c r="H171" s="980"/>
      <c r="I171" s="980"/>
      <c r="J171" s="980"/>
      <c r="K171" s="980"/>
      <c r="L171" s="1005">
        <f t="shared" si="19"/>
        <v>9200</v>
      </c>
      <c r="M171" s="981"/>
      <c r="N171" s="979">
        <v>1200</v>
      </c>
      <c r="O171" s="981"/>
      <c r="P171" s="981"/>
      <c r="Q171" s="1002"/>
      <c r="R171" s="981"/>
      <c r="S171" s="981"/>
      <c r="T171" s="981"/>
      <c r="U171" s="979">
        <v>2000</v>
      </c>
      <c r="V171" s="981"/>
      <c r="W171" s="979"/>
      <c r="X171" s="1002">
        <v>6000</v>
      </c>
    </row>
    <row r="172" spans="1:24" s="10" customFormat="1" ht="24">
      <c r="B172" s="619">
        <v>8</v>
      </c>
      <c r="C172" s="620" t="s">
        <v>34</v>
      </c>
      <c r="D172" s="861" t="s">
        <v>442</v>
      </c>
      <c r="E172" s="1010">
        <f t="shared" si="17"/>
        <v>3000</v>
      </c>
      <c r="F172" s="1010">
        <f t="shared" si="18"/>
        <v>0</v>
      </c>
      <c r="G172" s="989"/>
      <c r="H172" s="991"/>
      <c r="I172" s="991"/>
      <c r="J172" s="991"/>
      <c r="K172" s="991"/>
      <c r="L172" s="1010">
        <f t="shared" si="19"/>
        <v>3000</v>
      </c>
      <c r="M172" s="989">
        <f>SUM(M173:M177)</f>
        <v>0</v>
      </c>
      <c r="N172" s="988"/>
      <c r="O172" s="989">
        <f>SUM(O173:O177)</f>
        <v>0</v>
      </c>
      <c r="P172" s="989"/>
      <c r="Q172" s="1011">
        <f>SUM(Q173:Q177)</f>
        <v>0</v>
      </c>
      <c r="R172" s="989">
        <f>SUM(R173:R177)</f>
        <v>0</v>
      </c>
      <c r="S172" s="989"/>
      <c r="T172" s="989"/>
      <c r="U172" s="988">
        <f>SUM(U173:U177)</f>
        <v>3000</v>
      </c>
      <c r="V172" s="989"/>
      <c r="W172" s="988">
        <f>SUM(W173:W177)</f>
        <v>0</v>
      </c>
      <c r="X172" s="1011"/>
    </row>
    <row r="173" spans="1:24" s="8" customFormat="1" ht="24">
      <c r="B173" s="606" t="s">
        <v>443</v>
      </c>
      <c r="C173" s="602" t="s">
        <v>34</v>
      </c>
      <c r="D173" s="832" t="s">
        <v>81</v>
      </c>
      <c r="E173" s="1005"/>
      <c r="F173" s="1005"/>
      <c r="G173" s="981"/>
      <c r="H173" s="980"/>
      <c r="I173" s="980"/>
      <c r="J173" s="980"/>
      <c r="K173" s="980"/>
      <c r="L173" s="1005"/>
      <c r="M173" s="981"/>
      <c r="N173" s="979"/>
      <c r="O173" s="981"/>
      <c r="P173" s="981"/>
      <c r="Q173" s="1002"/>
      <c r="R173" s="981"/>
      <c r="S173" s="981"/>
      <c r="T173" s="981"/>
      <c r="U173" s="979"/>
      <c r="V173" s="981"/>
      <c r="W173" s="979"/>
      <c r="X173" s="1002"/>
    </row>
    <row r="174" spans="1:24" s="8" customFormat="1" ht="24">
      <c r="B174" s="606" t="s">
        <v>444</v>
      </c>
      <c r="C174" s="602" t="s">
        <v>34</v>
      </c>
      <c r="D174" s="832" t="s">
        <v>82</v>
      </c>
      <c r="E174" s="1005"/>
      <c r="F174" s="1005"/>
      <c r="G174" s="981"/>
      <c r="H174" s="980"/>
      <c r="I174" s="980"/>
      <c r="J174" s="980"/>
      <c r="K174" s="980"/>
      <c r="L174" s="1005"/>
      <c r="M174" s="981"/>
      <c r="N174" s="979"/>
      <c r="O174" s="981"/>
      <c r="P174" s="981"/>
      <c r="Q174" s="1002"/>
      <c r="R174" s="981"/>
      <c r="S174" s="981"/>
      <c r="T174" s="981"/>
      <c r="U174" s="979"/>
      <c r="V174" s="981"/>
      <c r="W174" s="979"/>
      <c r="X174" s="1002"/>
    </row>
    <row r="175" spans="1:24" s="8" customFormat="1" ht="24">
      <c r="B175" s="606" t="s">
        <v>445</v>
      </c>
      <c r="C175" s="602" t="s">
        <v>34</v>
      </c>
      <c r="D175" s="860" t="s">
        <v>83</v>
      </c>
      <c r="E175" s="1005">
        <f t="shared" si="17"/>
        <v>5400</v>
      </c>
      <c r="F175" s="1005">
        <f t="shared" si="18"/>
        <v>0</v>
      </c>
      <c r="G175" s="981"/>
      <c r="H175" s="980"/>
      <c r="I175" s="980"/>
      <c r="J175" s="980"/>
      <c r="K175" s="980"/>
      <c r="L175" s="1005">
        <f t="shared" si="19"/>
        <v>5400</v>
      </c>
      <c r="M175" s="981"/>
      <c r="N175" s="979"/>
      <c r="O175" s="981"/>
      <c r="P175" s="981"/>
      <c r="Q175" s="1002"/>
      <c r="R175" s="981"/>
      <c r="S175" s="981"/>
      <c r="T175" s="981"/>
      <c r="U175" s="979">
        <v>2400</v>
      </c>
      <c r="V175" s="981"/>
      <c r="W175" s="979"/>
      <c r="X175" s="1002">
        <v>3000</v>
      </c>
    </row>
    <row r="176" spans="1:24" s="8" customFormat="1" ht="48">
      <c r="B176" s="606" t="s">
        <v>446</v>
      </c>
      <c r="C176" s="602" t="s">
        <v>34</v>
      </c>
      <c r="D176" s="860" t="s">
        <v>84</v>
      </c>
      <c r="E176" s="1005">
        <f t="shared" si="17"/>
        <v>600</v>
      </c>
      <c r="F176" s="1005">
        <f t="shared" si="18"/>
        <v>0</v>
      </c>
      <c r="G176" s="981"/>
      <c r="H176" s="980"/>
      <c r="I176" s="980"/>
      <c r="J176" s="980"/>
      <c r="K176" s="980"/>
      <c r="L176" s="1005">
        <f t="shared" si="19"/>
        <v>600</v>
      </c>
      <c r="M176" s="981"/>
      <c r="N176" s="979"/>
      <c r="O176" s="981"/>
      <c r="P176" s="981"/>
      <c r="Q176" s="1002"/>
      <c r="R176" s="981">
        <v>0</v>
      </c>
      <c r="S176" s="981"/>
      <c r="T176" s="981"/>
      <c r="U176" s="979">
        <v>600</v>
      </c>
      <c r="V176" s="981"/>
      <c r="W176" s="979"/>
      <c r="X176" s="1002"/>
    </row>
    <row r="177" spans="1:24" s="8" customFormat="1" ht="24">
      <c r="B177" s="606" t="s">
        <v>447</v>
      </c>
      <c r="C177" s="602" t="s">
        <v>34</v>
      </c>
      <c r="D177" s="860" t="s">
        <v>85</v>
      </c>
      <c r="E177" s="1005"/>
      <c r="F177" s="1005"/>
      <c r="G177" s="981"/>
      <c r="H177" s="980"/>
      <c r="I177" s="980"/>
      <c r="J177" s="980"/>
      <c r="K177" s="980"/>
      <c r="L177" s="1005"/>
      <c r="M177" s="981"/>
      <c r="N177" s="979"/>
      <c r="O177" s="981"/>
      <c r="P177" s="981"/>
      <c r="Q177" s="1002"/>
      <c r="R177" s="981"/>
      <c r="S177" s="981"/>
      <c r="T177" s="981"/>
      <c r="U177" s="979"/>
      <c r="V177" s="981"/>
      <c r="W177" s="979"/>
      <c r="X177" s="1002"/>
    </row>
    <row r="178" spans="1:24" s="8" customFormat="1" ht="36">
      <c r="B178" s="606">
        <v>13</v>
      </c>
      <c r="C178" s="602" t="s">
        <v>34</v>
      </c>
      <c r="D178" s="857" t="s">
        <v>668</v>
      </c>
      <c r="E178" s="1005">
        <f t="shared" si="17"/>
        <v>144458</v>
      </c>
      <c r="F178" s="1005">
        <f t="shared" si="18"/>
        <v>94260</v>
      </c>
      <c r="G178" s="1002">
        <v>94260</v>
      </c>
      <c r="H178" s="980"/>
      <c r="I178" s="980"/>
      <c r="J178" s="980"/>
      <c r="K178" s="980"/>
      <c r="L178" s="1005">
        <f t="shared" si="19"/>
        <v>50198</v>
      </c>
      <c r="M178" s="1002"/>
      <c r="N178" s="979">
        <v>960</v>
      </c>
      <c r="O178" s="981">
        <v>1600</v>
      </c>
      <c r="P178" s="1002">
        <v>5150</v>
      </c>
      <c r="Q178" s="1002">
        <v>6736</v>
      </c>
      <c r="R178" s="1002">
        <v>8640</v>
      </c>
      <c r="S178" s="981">
        <v>4600</v>
      </c>
      <c r="T178" s="1002"/>
      <c r="U178" s="979">
        <v>17112</v>
      </c>
      <c r="V178" s="1002">
        <v>2520</v>
      </c>
      <c r="W178" s="979">
        <v>1440</v>
      </c>
      <c r="X178" s="1002">
        <v>1440</v>
      </c>
    </row>
    <row r="179" spans="1:24" s="8" customFormat="1">
      <c r="B179" s="606">
        <v>14</v>
      </c>
      <c r="C179" s="602" t="s">
        <v>34</v>
      </c>
      <c r="D179" s="862" t="s">
        <v>212</v>
      </c>
      <c r="E179" s="1005"/>
      <c r="F179" s="1005"/>
      <c r="G179" s="1002"/>
      <c r="H179" s="980"/>
      <c r="I179" s="980"/>
      <c r="J179" s="980"/>
      <c r="K179" s="980"/>
      <c r="L179" s="1005"/>
      <c r="M179" s="1002"/>
      <c r="N179" s="979"/>
      <c r="O179" s="981"/>
      <c r="P179" s="1002"/>
      <c r="Q179" s="981"/>
      <c r="R179" s="1002"/>
      <c r="S179" s="981"/>
      <c r="T179" s="1002"/>
      <c r="U179" s="979"/>
      <c r="V179" s="1002"/>
      <c r="W179" s="979"/>
      <c r="X179" s="1002"/>
    </row>
    <row r="180" spans="1:24" s="8" customFormat="1" ht="24">
      <c r="B180" s="606">
        <v>15</v>
      </c>
      <c r="C180" s="602" t="s">
        <v>34</v>
      </c>
      <c r="D180" s="863" t="s">
        <v>669</v>
      </c>
      <c r="E180" s="1005">
        <f t="shared" si="17"/>
        <v>24102</v>
      </c>
      <c r="F180" s="1005">
        <f t="shared" si="18"/>
        <v>0</v>
      </c>
      <c r="G180" s="1002"/>
      <c r="H180" s="980"/>
      <c r="I180" s="980"/>
      <c r="J180" s="980"/>
      <c r="K180" s="980"/>
      <c r="L180" s="1005">
        <f t="shared" si="19"/>
        <v>24102</v>
      </c>
      <c r="M180" s="1002"/>
      <c r="N180" s="979"/>
      <c r="O180" s="981"/>
      <c r="P180" s="1002"/>
      <c r="Q180" s="981">
        <v>6930</v>
      </c>
      <c r="R180" s="1002"/>
      <c r="S180" s="981"/>
      <c r="T180" s="1002">
        <v>11752</v>
      </c>
      <c r="U180" s="979"/>
      <c r="V180" s="1002">
        <v>5420</v>
      </c>
      <c r="W180" s="979"/>
      <c r="X180" s="1002"/>
    </row>
    <row r="181" spans="1:24" s="8" customFormat="1">
      <c r="B181" s="606">
        <v>16</v>
      </c>
      <c r="C181" s="602" t="s">
        <v>34</v>
      </c>
      <c r="D181" s="817" t="s">
        <v>290</v>
      </c>
      <c r="E181" s="1005">
        <f t="shared" si="17"/>
        <v>0</v>
      </c>
      <c r="F181" s="1005">
        <f t="shared" si="18"/>
        <v>0</v>
      </c>
      <c r="G181" s="1002"/>
      <c r="H181" s="980"/>
      <c r="I181" s="980"/>
      <c r="J181" s="980"/>
      <c r="K181" s="980"/>
      <c r="L181" s="1005">
        <f t="shared" si="19"/>
        <v>0</v>
      </c>
      <c r="M181" s="1002"/>
      <c r="N181" s="979"/>
      <c r="O181" s="981"/>
      <c r="P181" s="1002"/>
      <c r="Q181" s="981"/>
      <c r="R181" s="1002"/>
      <c r="S181" s="981"/>
      <c r="T181" s="1002"/>
      <c r="U181" s="979"/>
      <c r="V181" s="1002"/>
      <c r="W181" s="979"/>
      <c r="X181" s="1002"/>
    </row>
    <row r="182" spans="1:24" s="8" customFormat="1">
      <c r="B182" s="606">
        <v>17</v>
      </c>
      <c r="C182" s="602" t="s">
        <v>34</v>
      </c>
      <c r="D182" s="817" t="s">
        <v>292</v>
      </c>
      <c r="E182" s="1005">
        <f t="shared" si="17"/>
        <v>0</v>
      </c>
      <c r="F182" s="1005">
        <f t="shared" si="18"/>
        <v>0</v>
      </c>
      <c r="G182" s="1002"/>
      <c r="H182" s="980"/>
      <c r="I182" s="980"/>
      <c r="J182" s="980"/>
      <c r="K182" s="980"/>
      <c r="L182" s="1005">
        <f t="shared" si="19"/>
        <v>0</v>
      </c>
      <c r="M182" s="1002"/>
      <c r="N182" s="979"/>
      <c r="O182" s="981"/>
      <c r="P182" s="1002"/>
      <c r="Q182" s="981"/>
      <c r="R182" s="1002"/>
      <c r="S182" s="981"/>
      <c r="T182" s="1002"/>
      <c r="U182" s="979"/>
      <c r="V182" s="1002"/>
      <c r="W182" s="979"/>
      <c r="X182" s="1002"/>
    </row>
    <row r="183" spans="1:24" s="8" customFormat="1">
      <c r="B183" s="606">
        <v>18</v>
      </c>
      <c r="C183" s="602" t="s">
        <v>34</v>
      </c>
      <c r="D183" s="817" t="s">
        <v>291</v>
      </c>
      <c r="E183" s="1005">
        <f t="shared" si="17"/>
        <v>50500</v>
      </c>
      <c r="F183" s="1005">
        <f t="shared" si="18"/>
        <v>50000</v>
      </c>
      <c r="G183" s="1002">
        <v>50000</v>
      </c>
      <c r="H183" s="980"/>
      <c r="I183" s="980"/>
      <c r="J183" s="980"/>
      <c r="K183" s="980"/>
      <c r="L183" s="1005">
        <f t="shared" si="19"/>
        <v>500</v>
      </c>
      <c r="M183" s="1002"/>
      <c r="N183" s="979"/>
      <c r="O183" s="981"/>
      <c r="P183" s="1002"/>
      <c r="Q183" s="981"/>
      <c r="R183" s="1002"/>
      <c r="S183" s="981"/>
      <c r="T183" s="1002"/>
      <c r="U183" s="979">
        <v>500</v>
      </c>
      <c r="V183" s="1002"/>
      <c r="W183" s="979"/>
      <c r="X183" s="1002"/>
    </row>
    <row r="184" spans="1:24" s="617" customFormat="1" ht="60">
      <c r="B184" s="615">
        <v>19</v>
      </c>
      <c r="C184" s="616" t="s">
        <v>34</v>
      </c>
      <c r="D184" s="818" t="s">
        <v>670</v>
      </c>
      <c r="E184" s="1006"/>
      <c r="F184" s="1006"/>
      <c r="G184" s="1012"/>
      <c r="H184" s="1008"/>
      <c r="I184" s="1008"/>
      <c r="J184" s="1008"/>
      <c r="K184" s="1008"/>
      <c r="L184" s="1006"/>
      <c r="M184" s="1012"/>
      <c r="N184" s="1009"/>
      <c r="O184" s="1007"/>
      <c r="P184" s="1012"/>
      <c r="Q184" s="1007"/>
      <c r="R184" s="1012"/>
      <c r="S184" s="1007"/>
      <c r="T184" s="1012"/>
      <c r="U184" s="1009"/>
      <c r="V184" s="1012"/>
      <c r="W184" s="1009"/>
      <c r="X184" s="1012"/>
    </row>
    <row r="185" spans="1:24" s="8" customFormat="1" ht="24">
      <c r="B185" s="606">
        <v>20</v>
      </c>
      <c r="C185" s="602" t="s">
        <v>34</v>
      </c>
      <c r="D185" s="818" t="s">
        <v>671</v>
      </c>
      <c r="E185" s="1005"/>
      <c r="F185" s="1005"/>
      <c r="G185" s="1002"/>
      <c r="H185" s="980"/>
      <c r="I185" s="980"/>
      <c r="J185" s="980"/>
      <c r="K185" s="980"/>
      <c r="L185" s="1005"/>
      <c r="M185" s="1002"/>
      <c r="N185" s="979"/>
      <c r="O185" s="981"/>
      <c r="P185" s="1002"/>
      <c r="Q185" s="981"/>
      <c r="R185" s="1002"/>
      <c r="S185" s="981"/>
      <c r="T185" s="1002"/>
      <c r="U185" s="979"/>
      <c r="V185" s="1002"/>
      <c r="W185" s="979"/>
      <c r="X185" s="1002"/>
    </row>
    <row r="186" spans="1:24" s="13" customFormat="1" ht="36">
      <c r="A186" s="13" t="s">
        <v>808</v>
      </c>
      <c r="B186" s="607" t="s">
        <v>247</v>
      </c>
      <c r="C186" s="599" t="s">
        <v>34</v>
      </c>
      <c r="D186" s="864" t="s">
        <v>237</v>
      </c>
      <c r="E186" s="976">
        <f t="shared" si="17"/>
        <v>1454238</v>
      </c>
      <c r="F186" s="976">
        <f t="shared" si="18"/>
        <v>570000</v>
      </c>
      <c r="G186" s="977">
        <f>SUM(G187:G204)</f>
        <v>570000</v>
      </c>
      <c r="H186" s="978">
        <f>SUM(H187:H204)</f>
        <v>0</v>
      </c>
      <c r="I186" s="978">
        <f>SUM(I187:I204)</f>
        <v>0</v>
      </c>
      <c r="J186" s="978">
        <f>SUM(J187:J204)</f>
        <v>0</v>
      </c>
      <c r="K186" s="978">
        <f>SUM(K187:K204)</f>
        <v>0</v>
      </c>
      <c r="L186" s="976">
        <f t="shared" si="19"/>
        <v>884238</v>
      </c>
      <c r="M186" s="977">
        <f t="shared" ref="M186:X186" si="23">SUM(M187:M204)</f>
        <v>81945</v>
      </c>
      <c r="N186" s="977">
        <f t="shared" si="23"/>
        <v>50900</v>
      </c>
      <c r="O186" s="977">
        <f t="shared" si="23"/>
        <v>52124</v>
      </c>
      <c r="P186" s="977">
        <f t="shared" si="23"/>
        <v>103931</v>
      </c>
      <c r="Q186" s="977">
        <f t="shared" si="23"/>
        <v>52506</v>
      </c>
      <c r="R186" s="977">
        <f t="shared" si="23"/>
        <v>46970</v>
      </c>
      <c r="S186" s="977">
        <f t="shared" si="23"/>
        <v>66480</v>
      </c>
      <c r="T186" s="977">
        <f t="shared" si="23"/>
        <v>172538</v>
      </c>
      <c r="U186" s="977">
        <f t="shared" si="23"/>
        <v>138604</v>
      </c>
      <c r="V186" s="977">
        <f t="shared" si="23"/>
        <v>25530</v>
      </c>
      <c r="W186" s="977">
        <f t="shared" si="23"/>
        <v>7620</v>
      </c>
      <c r="X186" s="977">
        <f t="shared" si="23"/>
        <v>85090</v>
      </c>
    </row>
    <row r="187" spans="1:24" s="8" customFormat="1" ht="60">
      <c r="B187" s="606">
        <v>1</v>
      </c>
      <c r="C187" s="602" t="s">
        <v>34</v>
      </c>
      <c r="D187" s="846" t="s">
        <v>666</v>
      </c>
      <c r="E187" s="1005"/>
      <c r="F187" s="1005"/>
      <c r="G187" s="979"/>
      <c r="H187" s="980"/>
      <c r="I187" s="980"/>
      <c r="J187" s="980"/>
      <c r="K187" s="980"/>
      <c r="L187" s="1005"/>
      <c r="M187" s="979"/>
      <c r="N187" s="979"/>
      <c r="O187" s="983"/>
      <c r="P187" s="979"/>
      <c r="Q187" s="979"/>
      <c r="R187" s="979"/>
      <c r="S187" s="979"/>
      <c r="T187" s="979"/>
      <c r="U187" s="979"/>
      <c r="V187" s="979"/>
      <c r="W187" s="979"/>
      <c r="X187" s="979"/>
    </row>
    <row r="188" spans="1:24" s="8" customFormat="1">
      <c r="B188" s="618">
        <v>2</v>
      </c>
      <c r="C188" s="602" t="s">
        <v>34</v>
      </c>
      <c r="D188" s="844" t="s">
        <v>672</v>
      </c>
      <c r="E188" s="1005">
        <f t="shared" si="17"/>
        <v>27000</v>
      </c>
      <c r="F188" s="1005">
        <f t="shared" si="18"/>
        <v>0</v>
      </c>
      <c r="G188" s="981"/>
      <c r="H188" s="980"/>
      <c r="I188" s="980"/>
      <c r="J188" s="980"/>
      <c r="K188" s="980"/>
      <c r="L188" s="1005">
        <f t="shared" si="19"/>
        <v>27000</v>
      </c>
      <c r="M188" s="981"/>
      <c r="N188" s="979">
        <v>3500</v>
      </c>
      <c r="O188" s="981"/>
      <c r="P188" s="981"/>
      <c r="Q188" s="1002"/>
      <c r="R188" s="981"/>
      <c r="S188" s="981">
        <v>4900</v>
      </c>
      <c r="T188" s="981"/>
      <c r="U188" s="981">
        <v>18600</v>
      </c>
      <c r="V188" s="981"/>
      <c r="W188" s="981"/>
      <c r="X188" s="981"/>
    </row>
    <row r="189" spans="1:24" s="8" customFormat="1" ht="36">
      <c r="B189" s="618">
        <v>3</v>
      </c>
      <c r="C189" s="602" t="s">
        <v>34</v>
      </c>
      <c r="D189" s="865" t="s">
        <v>483</v>
      </c>
      <c r="E189" s="1005">
        <f t="shared" si="17"/>
        <v>93622</v>
      </c>
      <c r="F189" s="1005">
        <f t="shared" si="18"/>
        <v>0</v>
      </c>
      <c r="G189" s="981"/>
      <c r="H189" s="980"/>
      <c r="I189" s="980"/>
      <c r="J189" s="980"/>
      <c r="K189" s="980"/>
      <c r="L189" s="1005">
        <f t="shared" si="19"/>
        <v>93622</v>
      </c>
      <c r="M189" s="981"/>
      <c r="N189" s="979">
        <v>3400</v>
      </c>
      <c r="O189" s="1013">
        <v>19164</v>
      </c>
      <c r="P189" s="981"/>
      <c r="Q189" s="981">
        <v>5800</v>
      </c>
      <c r="R189" s="981">
        <v>10650</v>
      </c>
      <c r="S189" s="981">
        <v>12000</v>
      </c>
      <c r="T189" s="981">
        <v>18808</v>
      </c>
      <c r="U189" s="981">
        <v>10000</v>
      </c>
      <c r="V189" s="981">
        <v>5420</v>
      </c>
      <c r="W189" s="981"/>
      <c r="X189" s="981">
        <v>8380</v>
      </c>
    </row>
    <row r="190" spans="1:24" s="8" customFormat="1" ht="72">
      <c r="B190" s="618">
        <v>4</v>
      </c>
      <c r="C190" s="602" t="s">
        <v>34</v>
      </c>
      <c r="D190" s="832" t="s">
        <v>590</v>
      </c>
      <c r="E190" s="1005">
        <f t="shared" si="17"/>
        <v>91850</v>
      </c>
      <c r="F190" s="1005">
        <f t="shared" si="18"/>
        <v>25800</v>
      </c>
      <c r="G190" s="981">
        <v>25800</v>
      </c>
      <c r="H190" s="980"/>
      <c r="I190" s="980"/>
      <c r="J190" s="980"/>
      <c r="K190" s="980"/>
      <c r="L190" s="1005">
        <f t="shared" si="19"/>
        <v>66050</v>
      </c>
      <c r="M190" s="981">
        <v>3300</v>
      </c>
      <c r="N190" s="979">
        <v>3500</v>
      </c>
      <c r="O190" s="1013">
        <v>1180</v>
      </c>
      <c r="P190" s="981">
        <v>4600</v>
      </c>
      <c r="Q190" s="1002">
        <v>2850</v>
      </c>
      <c r="R190" s="981">
        <v>3120</v>
      </c>
      <c r="S190" s="981">
        <v>16200</v>
      </c>
      <c r="T190" s="979">
        <v>1620</v>
      </c>
      <c r="U190" s="981">
        <v>18600</v>
      </c>
      <c r="V190" s="981">
        <v>2860</v>
      </c>
      <c r="W190" s="981">
        <v>6120</v>
      </c>
      <c r="X190" s="981">
        <v>2100</v>
      </c>
    </row>
    <row r="191" spans="1:24" s="8" customFormat="1" ht="36">
      <c r="B191" s="618">
        <v>5</v>
      </c>
      <c r="C191" s="602" t="s">
        <v>34</v>
      </c>
      <c r="D191" s="844" t="s">
        <v>673</v>
      </c>
      <c r="E191" s="1005">
        <f t="shared" si="17"/>
        <v>217936</v>
      </c>
      <c r="F191" s="1005">
        <f t="shared" si="18"/>
        <v>167720</v>
      </c>
      <c r="G191" s="979">
        <v>167720</v>
      </c>
      <c r="H191" s="980"/>
      <c r="I191" s="980"/>
      <c r="J191" s="980"/>
      <c r="K191" s="980"/>
      <c r="L191" s="1005">
        <f t="shared" si="19"/>
        <v>50216</v>
      </c>
      <c r="M191" s="981"/>
      <c r="N191" s="979"/>
      <c r="O191" s="981"/>
      <c r="P191" s="981">
        <v>1040</v>
      </c>
      <c r="Q191" s="981">
        <v>6736</v>
      </c>
      <c r="R191" s="981">
        <v>14640</v>
      </c>
      <c r="S191" s="981">
        <v>5000</v>
      </c>
      <c r="T191" s="981">
        <v>4650</v>
      </c>
      <c r="U191" s="981">
        <v>10000</v>
      </c>
      <c r="V191" s="981">
        <v>3500</v>
      </c>
      <c r="W191" s="979"/>
      <c r="X191" s="981">
        <v>4650</v>
      </c>
    </row>
    <row r="192" spans="1:24" s="8" customFormat="1" ht="24">
      <c r="B192" s="618">
        <v>6</v>
      </c>
      <c r="C192" s="602" t="s">
        <v>34</v>
      </c>
      <c r="D192" s="832" t="s">
        <v>88</v>
      </c>
      <c r="E192" s="1005">
        <f t="shared" si="17"/>
        <v>533030</v>
      </c>
      <c r="F192" s="1005">
        <f t="shared" si="18"/>
        <v>41280</v>
      </c>
      <c r="G192" s="979">
        <v>41280</v>
      </c>
      <c r="H192" s="980"/>
      <c r="I192" s="980"/>
      <c r="J192" s="980"/>
      <c r="K192" s="980"/>
      <c r="L192" s="1005">
        <f t="shared" si="19"/>
        <v>491750</v>
      </c>
      <c r="M192" s="981">
        <v>18920</v>
      </c>
      <c r="N192" s="979">
        <v>12000</v>
      </c>
      <c r="O192" s="1013">
        <v>30600</v>
      </c>
      <c r="P192" s="981">
        <v>80000</v>
      </c>
      <c r="Q192" s="979">
        <v>37120</v>
      </c>
      <c r="R192" s="981">
        <v>18560</v>
      </c>
      <c r="S192" s="981">
        <v>28380</v>
      </c>
      <c r="T192" s="981">
        <v>147460</v>
      </c>
      <c r="U192" s="981">
        <v>35000</v>
      </c>
      <c r="V192" s="981">
        <v>13750</v>
      </c>
      <c r="W192" s="981"/>
      <c r="X192" s="981">
        <v>69960</v>
      </c>
    </row>
    <row r="193" spans="1:26" s="8" customFormat="1" ht="24">
      <c r="B193" s="618">
        <v>7</v>
      </c>
      <c r="C193" s="602" t="s">
        <v>34</v>
      </c>
      <c r="D193" s="860" t="s">
        <v>38</v>
      </c>
      <c r="E193" s="1005"/>
      <c r="F193" s="1005"/>
      <c r="G193" s="981"/>
      <c r="H193" s="980"/>
      <c r="I193" s="980"/>
      <c r="J193" s="980"/>
      <c r="K193" s="980"/>
      <c r="L193" s="1005"/>
      <c r="M193" s="981"/>
      <c r="N193" s="979"/>
      <c r="O193" s="981"/>
      <c r="P193" s="981"/>
      <c r="Q193" s="1002"/>
      <c r="R193" s="981"/>
      <c r="S193" s="981"/>
      <c r="T193" s="1002"/>
      <c r="U193" s="981"/>
      <c r="V193" s="981"/>
      <c r="W193" s="981"/>
      <c r="X193" s="981"/>
    </row>
    <row r="194" spans="1:26" s="8" customFormat="1">
      <c r="B194" s="618">
        <v>8</v>
      </c>
      <c r="C194" s="602" t="s">
        <v>34</v>
      </c>
      <c r="D194" s="866" t="s">
        <v>674</v>
      </c>
      <c r="E194" s="1005"/>
      <c r="F194" s="1005"/>
      <c r="G194" s="981"/>
      <c r="H194" s="980"/>
      <c r="I194" s="980"/>
      <c r="J194" s="980"/>
      <c r="K194" s="980"/>
      <c r="L194" s="1005"/>
      <c r="M194" s="981"/>
      <c r="N194" s="979"/>
      <c r="O194" s="1014"/>
      <c r="P194" s="981"/>
      <c r="Q194" s="981"/>
      <c r="R194" s="981"/>
      <c r="S194" s="981"/>
      <c r="T194" s="981"/>
      <c r="U194" s="981"/>
      <c r="V194" s="981"/>
      <c r="W194" s="981"/>
      <c r="X194" s="981"/>
    </row>
    <row r="195" spans="1:26" s="8" customFormat="1" ht="36">
      <c r="B195" s="618">
        <v>9</v>
      </c>
      <c r="C195" s="602" t="s">
        <v>34</v>
      </c>
      <c r="D195" s="867" t="s">
        <v>675</v>
      </c>
      <c r="E195" s="1005"/>
      <c r="F195" s="1005"/>
      <c r="G195" s="981"/>
      <c r="H195" s="980"/>
      <c r="I195" s="980"/>
      <c r="J195" s="980"/>
      <c r="K195" s="980"/>
      <c r="L195" s="1005"/>
      <c r="M195" s="981"/>
      <c r="N195" s="979"/>
      <c r="O195" s="981"/>
      <c r="P195" s="981"/>
      <c r="Q195" s="981"/>
      <c r="R195" s="981"/>
      <c r="S195" s="981"/>
      <c r="T195" s="981"/>
      <c r="U195" s="981"/>
      <c r="V195" s="981"/>
      <c r="W195" s="981"/>
      <c r="X195" s="981"/>
    </row>
    <row r="196" spans="1:26" s="8" customFormat="1" ht="24">
      <c r="B196" s="618">
        <v>10</v>
      </c>
      <c r="C196" s="602" t="s">
        <v>34</v>
      </c>
      <c r="D196" s="817" t="s">
        <v>486</v>
      </c>
      <c r="E196" s="1005">
        <f t="shared" si="17"/>
        <v>262378</v>
      </c>
      <c r="F196" s="1005">
        <f t="shared" si="18"/>
        <v>200000</v>
      </c>
      <c r="G196" s="981">
        <v>200000</v>
      </c>
      <c r="H196" s="980"/>
      <c r="I196" s="980"/>
      <c r="J196" s="980"/>
      <c r="K196" s="980"/>
      <c r="L196" s="1005">
        <f t="shared" si="19"/>
        <v>62378</v>
      </c>
      <c r="M196" s="981">
        <v>46787</v>
      </c>
      <c r="N196" s="979"/>
      <c r="O196" s="981"/>
      <c r="P196" s="981">
        <v>14091</v>
      </c>
      <c r="Q196" s="981">
        <v>0</v>
      </c>
      <c r="R196" s="981"/>
      <c r="S196" s="981"/>
      <c r="T196" s="981"/>
      <c r="U196" s="981"/>
      <c r="V196" s="981"/>
      <c r="W196" s="981">
        <v>1500</v>
      </c>
      <c r="X196" s="981"/>
    </row>
    <row r="197" spans="1:26" s="8" customFormat="1" ht="72">
      <c r="B197" s="618">
        <v>11</v>
      </c>
      <c r="C197" s="602" t="s">
        <v>34</v>
      </c>
      <c r="D197" s="832" t="s">
        <v>487</v>
      </c>
      <c r="E197" s="1005">
        <f t="shared" si="17"/>
        <v>48384</v>
      </c>
      <c r="F197" s="1005">
        <f t="shared" si="18"/>
        <v>14000</v>
      </c>
      <c r="G197" s="979">
        <v>14000</v>
      </c>
      <c r="H197" s="980">
        <v>0</v>
      </c>
      <c r="I197" s="980"/>
      <c r="J197" s="980"/>
      <c r="K197" s="980"/>
      <c r="L197" s="1005">
        <f t="shared" si="19"/>
        <v>34384</v>
      </c>
      <c r="M197" s="981">
        <v>4900</v>
      </c>
      <c r="N197" s="979">
        <v>3500</v>
      </c>
      <c r="O197" s="981"/>
      <c r="P197" s="981">
        <v>4200</v>
      </c>
      <c r="Q197" s="1002"/>
      <c r="R197" s="981"/>
      <c r="S197" s="981"/>
      <c r="T197" s="981"/>
      <c r="U197" s="981">
        <v>21784</v>
      </c>
      <c r="V197" s="981"/>
      <c r="W197" s="979"/>
      <c r="X197" s="981"/>
      <c r="Z197" s="14"/>
    </row>
    <row r="198" spans="1:26" s="8" customFormat="1" ht="36">
      <c r="B198" s="618">
        <v>12</v>
      </c>
      <c r="C198" s="602" t="s">
        <v>34</v>
      </c>
      <c r="D198" s="832" t="s">
        <v>488</v>
      </c>
      <c r="E198" s="1005">
        <f t="shared" si="17"/>
        <v>131920</v>
      </c>
      <c r="F198" s="1005">
        <f t="shared" si="18"/>
        <v>121200</v>
      </c>
      <c r="G198" s="979">
        <v>121200</v>
      </c>
      <c r="H198" s="980"/>
      <c r="I198" s="980"/>
      <c r="J198" s="980"/>
      <c r="K198" s="980"/>
      <c r="L198" s="1005">
        <f t="shared" si="19"/>
        <v>10720</v>
      </c>
      <c r="M198" s="981">
        <v>1520</v>
      </c>
      <c r="N198" s="979">
        <v>8000</v>
      </c>
      <c r="O198" s="981"/>
      <c r="P198" s="981"/>
      <c r="Q198" s="1002"/>
      <c r="R198" s="981"/>
      <c r="S198" s="981"/>
      <c r="T198" s="981"/>
      <c r="U198" s="981">
        <v>1200</v>
      </c>
      <c r="V198" s="981"/>
      <c r="W198" s="979"/>
      <c r="X198" s="981"/>
    </row>
    <row r="199" spans="1:26" s="8" customFormat="1" ht="24">
      <c r="B199" s="618">
        <v>13</v>
      </c>
      <c r="C199" s="602" t="s">
        <v>34</v>
      </c>
      <c r="D199" s="832" t="s">
        <v>232</v>
      </c>
      <c r="E199" s="1005">
        <f t="shared" si="17"/>
        <v>13320</v>
      </c>
      <c r="F199" s="1005">
        <f t="shared" si="18"/>
        <v>0</v>
      </c>
      <c r="G199" s="979"/>
      <c r="H199" s="980"/>
      <c r="I199" s="980"/>
      <c r="J199" s="980"/>
      <c r="K199" s="980"/>
      <c r="L199" s="1005">
        <f t="shared" si="19"/>
        <v>13320</v>
      </c>
      <c r="M199" s="981">
        <v>300</v>
      </c>
      <c r="N199" s="979">
        <v>2500</v>
      </c>
      <c r="O199" s="992"/>
      <c r="P199" s="981"/>
      <c r="Q199" s="981"/>
      <c r="R199" s="981"/>
      <c r="S199" s="981"/>
      <c r="T199" s="981"/>
      <c r="U199" s="981">
        <v>10520</v>
      </c>
      <c r="V199" s="981"/>
      <c r="W199" s="979"/>
      <c r="X199" s="981"/>
    </row>
    <row r="200" spans="1:26" s="8" customFormat="1" ht="24">
      <c r="B200" s="618">
        <v>14</v>
      </c>
      <c r="C200" s="602" t="s">
        <v>34</v>
      </c>
      <c r="D200" s="832" t="s">
        <v>489</v>
      </c>
      <c r="E200" s="1005">
        <f t="shared" si="17"/>
        <v>15080</v>
      </c>
      <c r="F200" s="1005">
        <f t="shared" si="18"/>
        <v>0</v>
      </c>
      <c r="G200" s="979"/>
      <c r="H200" s="980"/>
      <c r="I200" s="980"/>
      <c r="J200" s="980"/>
      <c r="K200" s="980"/>
      <c r="L200" s="1005">
        <f t="shared" si="19"/>
        <v>15080</v>
      </c>
      <c r="M200" s="981"/>
      <c r="N200" s="979">
        <v>11000</v>
      </c>
      <c r="O200" s="1013">
        <v>1180</v>
      </c>
      <c r="P200" s="981"/>
      <c r="Q200" s="981"/>
      <c r="R200" s="981"/>
      <c r="S200" s="981"/>
      <c r="T200" s="981"/>
      <c r="U200" s="981">
        <v>2900</v>
      </c>
      <c r="V200" s="981"/>
      <c r="W200" s="979"/>
      <c r="X200" s="981"/>
    </row>
    <row r="201" spans="1:26" s="8" customFormat="1" ht="36">
      <c r="B201" s="618">
        <v>15</v>
      </c>
      <c r="C201" s="602" t="s">
        <v>34</v>
      </c>
      <c r="D201" s="868" t="s">
        <v>676</v>
      </c>
      <c r="E201" s="1005">
        <f t="shared" ref="E201:E263" si="24">F201+L201</f>
        <v>1040</v>
      </c>
      <c r="F201" s="1005">
        <f t="shared" ref="F201:F263" si="25">SUM(G201:K201)</f>
        <v>0</v>
      </c>
      <c r="G201" s="979"/>
      <c r="H201" s="980"/>
      <c r="I201" s="980"/>
      <c r="J201" s="980"/>
      <c r="K201" s="980"/>
      <c r="L201" s="1005">
        <f t="shared" ref="L201:L263" si="26">SUM(M201:X201)</f>
        <v>1040</v>
      </c>
      <c r="M201" s="981">
        <v>1040</v>
      </c>
      <c r="N201" s="979"/>
      <c r="O201" s="1013"/>
      <c r="P201" s="981"/>
      <c r="Q201" s="981"/>
      <c r="R201" s="981"/>
      <c r="S201" s="981"/>
      <c r="T201" s="981"/>
      <c r="U201" s="981"/>
      <c r="V201" s="981"/>
      <c r="W201" s="979"/>
      <c r="X201" s="981"/>
    </row>
    <row r="202" spans="1:26" s="8" customFormat="1" ht="24">
      <c r="B202" s="618">
        <v>16</v>
      </c>
      <c r="C202" s="602" t="s">
        <v>34</v>
      </c>
      <c r="D202" s="869" t="s">
        <v>677</v>
      </c>
      <c r="E202" s="1005">
        <f t="shared" si="24"/>
        <v>5178</v>
      </c>
      <c r="F202" s="1005">
        <f t="shared" si="25"/>
        <v>0</v>
      </c>
      <c r="G202" s="979"/>
      <c r="H202" s="980"/>
      <c r="I202" s="980"/>
      <c r="J202" s="980"/>
      <c r="K202" s="980"/>
      <c r="L202" s="1005">
        <f t="shared" si="26"/>
        <v>5178</v>
      </c>
      <c r="M202" s="981">
        <v>5178</v>
      </c>
      <c r="N202" s="979"/>
      <c r="O202" s="1013"/>
      <c r="P202" s="981"/>
      <c r="Q202" s="981"/>
      <c r="R202" s="981"/>
      <c r="S202" s="981"/>
      <c r="T202" s="981"/>
      <c r="U202" s="981"/>
      <c r="V202" s="981"/>
      <c r="W202" s="979"/>
      <c r="X202" s="981"/>
    </row>
    <row r="203" spans="1:26" s="8" customFormat="1" ht="24">
      <c r="B203" s="618">
        <v>18</v>
      </c>
      <c r="C203" s="602" t="s">
        <v>34</v>
      </c>
      <c r="D203" s="832" t="s">
        <v>89</v>
      </c>
      <c r="E203" s="1005">
        <f t="shared" si="24"/>
        <v>10000</v>
      </c>
      <c r="F203" s="1005">
        <f t="shared" si="25"/>
        <v>0</v>
      </c>
      <c r="G203" s="979"/>
      <c r="H203" s="980"/>
      <c r="I203" s="980"/>
      <c r="J203" s="980"/>
      <c r="K203" s="980"/>
      <c r="L203" s="1005">
        <f t="shared" si="26"/>
        <v>10000</v>
      </c>
      <c r="M203" s="981"/>
      <c r="N203" s="979"/>
      <c r="O203" s="981"/>
      <c r="P203" s="981"/>
      <c r="Q203" s="1002"/>
      <c r="R203" s="981"/>
      <c r="S203" s="981"/>
      <c r="T203" s="981"/>
      <c r="U203" s="981">
        <v>10000</v>
      </c>
      <c r="V203" s="981"/>
      <c r="W203" s="979"/>
      <c r="X203" s="981"/>
    </row>
    <row r="204" spans="1:26" s="8" customFormat="1" ht="24">
      <c r="B204" s="618">
        <v>19</v>
      </c>
      <c r="C204" s="602" t="s">
        <v>34</v>
      </c>
      <c r="D204" s="832" t="s">
        <v>90</v>
      </c>
      <c r="E204" s="1005">
        <f t="shared" si="24"/>
        <v>3500</v>
      </c>
      <c r="F204" s="1005">
        <f t="shared" si="25"/>
        <v>0</v>
      </c>
      <c r="G204" s="979"/>
      <c r="H204" s="980"/>
      <c r="I204" s="980"/>
      <c r="J204" s="980"/>
      <c r="K204" s="980"/>
      <c r="L204" s="1005">
        <f t="shared" si="26"/>
        <v>3500</v>
      </c>
      <c r="M204" s="981"/>
      <c r="N204" s="979">
        <v>3500</v>
      </c>
      <c r="O204" s="981"/>
      <c r="P204" s="981"/>
      <c r="Q204" s="1002"/>
      <c r="R204" s="981"/>
      <c r="S204" s="981"/>
      <c r="T204" s="981"/>
      <c r="U204" s="979"/>
      <c r="V204" s="981"/>
      <c r="W204" s="979"/>
      <c r="X204" s="981"/>
    </row>
    <row r="205" spans="1:26" s="13" customFormat="1" ht="60">
      <c r="A205" s="13" t="s">
        <v>809</v>
      </c>
      <c r="B205" s="607" t="s">
        <v>248</v>
      </c>
      <c r="C205" s="599" t="s">
        <v>34</v>
      </c>
      <c r="D205" s="856" t="s">
        <v>24</v>
      </c>
      <c r="E205" s="976">
        <f t="shared" si="24"/>
        <v>157700.204</v>
      </c>
      <c r="F205" s="976">
        <f t="shared" si="25"/>
        <v>75000</v>
      </c>
      <c r="G205" s="977">
        <f>SUM(G206:G212)</f>
        <v>75000</v>
      </c>
      <c r="H205" s="978">
        <f t="shared" ref="H205:X205" si="27">SUM(H206:H212)</f>
        <v>0</v>
      </c>
      <c r="I205" s="978">
        <f t="shared" si="27"/>
        <v>0</v>
      </c>
      <c r="J205" s="978">
        <f t="shared" si="27"/>
        <v>0</v>
      </c>
      <c r="K205" s="978">
        <f t="shared" si="27"/>
        <v>0</v>
      </c>
      <c r="L205" s="973">
        <f t="shared" si="26"/>
        <v>82700.203999999998</v>
      </c>
      <c r="M205" s="977">
        <f t="shared" si="27"/>
        <v>41946</v>
      </c>
      <c r="N205" s="977">
        <f t="shared" si="27"/>
        <v>4434.2039999999997</v>
      </c>
      <c r="O205" s="977">
        <f t="shared" si="27"/>
        <v>2180</v>
      </c>
      <c r="P205" s="977">
        <f t="shared" si="27"/>
        <v>4600</v>
      </c>
      <c r="Q205" s="977">
        <f t="shared" si="27"/>
        <v>0</v>
      </c>
      <c r="R205" s="977">
        <f t="shared" si="27"/>
        <v>1480</v>
      </c>
      <c r="S205" s="977">
        <f t="shared" si="27"/>
        <v>10740</v>
      </c>
      <c r="T205" s="977">
        <f t="shared" si="27"/>
        <v>0</v>
      </c>
      <c r="U205" s="977">
        <f t="shared" si="27"/>
        <v>4260</v>
      </c>
      <c r="V205" s="977">
        <f t="shared" si="27"/>
        <v>6050</v>
      </c>
      <c r="W205" s="977">
        <f t="shared" si="27"/>
        <v>3360</v>
      </c>
      <c r="X205" s="977">
        <f t="shared" si="27"/>
        <v>3650</v>
      </c>
    </row>
    <row r="206" spans="1:26" s="13" customFormat="1" ht="36">
      <c r="B206" s="619">
        <v>1</v>
      </c>
      <c r="C206" s="605" t="s">
        <v>34</v>
      </c>
      <c r="D206" s="870" t="s">
        <v>678</v>
      </c>
      <c r="E206" s="973">
        <f t="shared" si="24"/>
        <v>53640.203999999998</v>
      </c>
      <c r="F206" s="973">
        <f t="shared" si="25"/>
        <v>40000</v>
      </c>
      <c r="G206" s="1015">
        <v>40000</v>
      </c>
      <c r="H206" s="978"/>
      <c r="I206" s="978"/>
      <c r="J206" s="978"/>
      <c r="K206" s="978"/>
      <c r="L206" s="973">
        <f t="shared" si="26"/>
        <v>13640.204</v>
      </c>
      <c r="M206" s="979">
        <v>246</v>
      </c>
      <c r="N206" s="979">
        <f>2616.336+1817.868</f>
        <v>4434.2039999999997</v>
      </c>
      <c r="O206" s="979">
        <v>1000</v>
      </c>
      <c r="P206" s="979"/>
      <c r="Q206" s="979"/>
      <c r="R206" s="979"/>
      <c r="S206" s="979">
        <v>1560</v>
      </c>
      <c r="T206" s="979"/>
      <c r="U206" s="979">
        <v>1500</v>
      </c>
      <c r="V206" s="979">
        <v>2700</v>
      </c>
      <c r="W206" s="979">
        <v>1200</v>
      </c>
      <c r="X206" s="979">
        <v>1000</v>
      </c>
    </row>
    <row r="207" spans="1:26" ht="36">
      <c r="B207" s="621">
        <v>2</v>
      </c>
      <c r="C207" s="605" t="s">
        <v>34</v>
      </c>
      <c r="D207" s="826" t="s">
        <v>402</v>
      </c>
      <c r="E207" s="973">
        <f t="shared" si="24"/>
        <v>60660</v>
      </c>
      <c r="F207" s="973">
        <f t="shared" si="25"/>
        <v>35000</v>
      </c>
      <c r="G207" s="985">
        <v>35000</v>
      </c>
      <c r="H207" s="980"/>
      <c r="I207" s="980"/>
      <c r="J207" s="980"/>
      <c r="K207" s="980"/>
      <c r="L207" s="973">
        <f t="shared" si="26"/>
        <v>25660</v>
      </c>
      <c r="M207" s="981">
        <v>3300</v>
      </c>
      <c r="N207" s="979"/>
      <c r="O207" s="981">
        <v>1180</v>
      </c>
      <c r="P207" s="981">
        <v>4600</v>
      </c>
      <c r="Q207" s="1002"/>
      <c r="R207" s="981">
        <v>1480</v>
      </c>
      <c r="S207" s="981">
        <v>4180</v>
      </c>
      <c r="T207" s="981"/>
      <c r="U207" s="981">
        <v>2760</v>
      </c>
      <c r="V207" s="979">
        <v>3350</v>
      </c>
      <c r="W207" s="981">
        <v>2160</v>
      </c>
      <c r="X207" s="981">
        <v>2650</v>
      </c>
    </row>
    <row r="208" spans="1:26" ht="36">
      <c r="B208" s="621">
        <v>3</v>
      </c>
      <c r="C208" s="605" t="s">
        <v>34</v>
      </c>
      <c r="D208" s="818" t="s">
        <v>679</v>
      </c>
      <c r="E208" s="973"/>
      <c r="F208" s="973"/>
      <c r="G208" s="985"/>
      <c r="H208" s="980"/>
      <c r="I208" s="980"/>
      <c r="J208" s="980"/>
      <c r="K208" s="980"/>
      <c r="L208" s="973"/>
      <c r="M208" s="981"/>
      <c r="N208" s="979"/>
      <c r="O208" s="981"/>
      <c r="P208" s="981"/>
      <c r="Q208" s="1002"/>
      <c r="R208" s="981"/>
      <c r="S208" s="981"/>
      <c r="T208" s="981"/>
      <c r="U208" s="979"/>
      <c r="V208" s="979"/>
      <c r="W208" s="981"/>
      <c r="X208" s="981"/>
    </row>
    <row r="209" spans="1:24" ht="84">
      <c r="B209" s="621">
        <v>4</v>
      </c>
      <c r="C209" s="605" t="s">
        <v>34</v>
      </c>
      <c r="D209" s="832" t="s">
        <v>91</v>
      </c>
      <c r="E209" s="973"/>
      <c r="F209" s="973"/>
      <c r="G209" s="985"/>
      <c r="H209" s="980"/>
      <c r="I209" s="980"/>
      <c r="J209" s="980"/>
      <c r="K209" s="980"/>
      <c r="L209" s="973"/>
      <c r="M209" s="981"/>
      <c r="N209" s="979"/>
      <c r="O209" s="981"/>
      <c r="P209" s="981"/>
      <c r="Q209" s="1002"/>
      <c r="R209" s="981"/>
      <c r="S209" s="981"/>
      <c r="T209" s="981"/>
      <c r="U209" s="979"/>
      <c r="V209" s="979"/>
      <c r="W209" s="981"/>
      <c r="X209" s="981"/>
    </row>
    <row r="210" spans="1:24" ht="48">
      <c r="B210" s="621">
        <v>5</v>
      </c>
      <c r="C210" s="605" t="s">
        <v>34</v>
      </c>
      <c r="D210" s="871" t="s">
        <v>404</v>
      </c>
      <c r="E210" s="973"/>
      <c r="F210" s="973"/>
      <c r="G210" s="979"/>
      <c r="H210" s="980"/>
      <c r="I210" s="980"/>
      <c r="J210" s="980"/>
      <c r="K210" s="980"/>
      <c r="L210" s="973"/>
      <c r="M210" s="981"/>
      <c r="N210" s="979"/>
      <c r="O210" s="979"/>
      <c r="P210" s="979"/>
      <c r="Q210" s="979"/>
      <c r="R210" s="979"/>
      <c r="S210" s="979"/>
      <c r="T210" s="979"/>
      <c r="U210" s="979"/>
      <c r="V210" s="979"/>
      <c r="W210" s="1016"/>
      <c r="X210" s="1016"/>
    </row>
    <row r="211" spans="1:24" ht="24">
      <c r="B211" s="621">
        <v>6</v>
      </c>
      <c r="C211" s="605" t="s">
        <v>34</v>
      </c>
      <c r="D211" s="872" t="s">
        <v>680</v>
      </c>
      <c r="E211" s="973">
        <f t="shared" si="24"/>
        <v>43400</v>
      </c>
      <c r="F211" s="973">
        <f t="shared" si="25"/>
        <v>0</v>
      </c>
      <c r="G211" s="979"/>
      <c r="H211" s="980"/>
      <c r="I211" s="980"/>
      <c r="J211" s="980"/>
      <c r="K211" s="980"/>
      <c r="L211" s="973">
        <f t="shared" si="26"/>
        <v>43400</v>
      </c>
      <c r="M211" s="981">
        <v>38400</v>
      </c>
      <c r="N211" s="979"/>
      <c r="O211" s="979"/>
      <c r="P211" s="979"/>
      <c r="Q211" s="979"/>
      <c r="R211" s="979"/>
      <c r="S211" s="979">
        <v>5000</v>
      </c>
      <c r="T211" s="979"/>
      <c r="U211" s="979"/>
      <c r="V211" s="979"/>
      <c r="W211" s="1016"/>
      <c r="X211" s="1016"/>
    </row>
    <row r="212" spans="1:24" ht="84">
      <c r="B212" s="619">
        <v>7</v>
      </c>
      <c r="C212" s="605" t="s">
        <v>34</v>
      </c>
      <c r="D212" s="845" t="s">
        <v>91</v>
      </c>
      <c r="E212" s="973"/>
      <c r="F212" s="973"/>
      <c r="G212" s="1004"/>
      <c r="H212" s="980"/>
      <c r="I212" s="980"/>
      <c r="J212" s="980"/>
      <c r="K212" s="980"/>
      <c r="L212" s="973"/>
      <c r="M212" s="981"/>
      <c r="N212" s="979"/>
      <c r="O212" s="985"/>
      <c r="P212" s="985"/>
      <c r="Q212" s="986"/>
      <c r="R212" s="985"/>
      <c r="S212" s="985"/>
      <c r="T212" s="985"/>
      <c r="U212" s="979"/>
      <c r="V212" s="979"/>
      <c r="W212" s="985"/>
      <c r="X212" s="981"/>
    </row>
    <row r="213" spans="1:24" s="6" customFormat="1" ht="24">
      <c r="A213" s="6">
        <v>4</v>
      </c>
      <c r="B213" s="614">
        <v>4</v>
      </c>
      <c r="C213" s="596" t="s">
        <v>34</v>
      </c>
      <c r="D213" s="873" t="s">
        <v>240</v>
      </c>
      <c r="E213" s="973">
        <f t="shared" si="24"/>
        <v>522230</v>
      </c>
      <c r="F213" s="973">
        <f t="shared" si="25"/>
        <v>185000</v>
      </c>
      <c r="G213" s="974">
        <f t="shared" ref="G213:X213" si="28">SUM(G214:G232)</f>
        <v>185000</v>
      </c>
      <c r="H213" s="975">
        <f t="shared" si="28"/>
        <v>0</v>
      </c>
      <c r="I213" s="975">
        <f t="shared" si="28"/>
        <v>0</v>
      </c>
      <c r="J213" s="975">
        <f t="shared" si="28"/>
        <v>0</v>
      </c>
      <c r="K213" s="975">
        <f t="shared" si="28"/>
        <v>0</v>
      </c>
      <c r="L213" s="973">
        <f t="shared" si="26"/>
        <v>337230</v>
      </c>
      <c r="M213" s="974">
        <f t="shared" si="28"/>
        <v>21846</v>
      </c>
      <c r="N213" s="974">
        <f t="shared" si="28"/>
        <v>48400</v>
      </c>
      <c r="O213" s="974">
        <f t="shared" si="28"/>
        <v>14240</v>
      </c>
      <c r="P213" s="974">
        <f t="shared" si="28"/>
        <v>30350</v>
      </c>
      <c r="Q213" s="974">
        <f t="shared" si="28"/>
        <v>30516</v>
      </c>
      <c r="R213" s="974">
        <f t="shared" si="28"/>
        <v>37400</v>
      </c>
      <c r="S213" s="974">
        <f t="shared" si="28"/>
        <v>19350</v>
      </c>
      <c r="T213" s="974">
        <f t="shared" si="28"/>
        <v>27820</v>
      </c>
      <c r="U213" s="974">
        <f t="shared" si="28"/>
        <v>13920</v>
      </c>
      <c r="V213" s="974">
        <f t="shared" si="28"/>
        <v>58388</v>
      </c>
      <c r="W213" s="974">
        <f t="shared" si="28"/>
        <v>23320</v>
      </c>
      <c r="X213" s="974">
        <f t="shared" si="28"/>
        <v>11680</v>
      </c>
    </row>
    <row r="214" spans="1:24" s="8" customFormat="1" ht="36">
      <c r="B214" s="606">
        <v>1</v>
      </c>
      <c r="C214" s="602" t="s">
        <v>34</v>
      </c>
      <c r="D214" s="838" t="s">
        <v>681</v>
      </c>
      <c r="E214" s="1010"/>
      <c r="F214" s="1010"/>
      <c r="G214" s="1017"/>
      <c r="H214" s="980"/>
      <c r="I214" s="980"/>
      <c r="J214" s="980"/>
      <c r="K214" s="980"/>
      <c r="L214" s="1010"/>
      <c r="M214" s="1018"/>
      <c r="N214" s="979"/>
      <c r="O214" s="981"/>
      <c r="P214" s="1018"/>
      <c r="Q214" s="1002"/>
      <c r="R214" s="1018"/>
      <c r="S214" s="1018"/>
      <c r="T214" s="981"/>
      <c r="U214" s="981"/>
      <c r="V214" s="1018"/>
      <c r="W214" s="1018"/>
      <c r="X214" s="1018"/>
    </row>
    <row r="215" spans="1:24" s="8" customFormat="1" ht="60">
      <c r="B215" s="606">
        <v>2</v>
      </c>
      <c r="C215" s="602" t="s">
        <v>34</v>
      </c>
      <c r="D215" s="874" t="s">
        <v>326</v>
      </c>
      <c r="E215" s="1010">
        <f t="shared" si="24"/>
        <v>48000</v>
      </c>
      <c r="F215" s="1010">
        <f t="shared" si="25"/>
        <v>40000</v>
      </c>
      <c r="G215" s="1017">
        <v>40000</v>
      </c>
      <c r="H215" s="980"/>
      <c r="I215" s="980"/>
      <c r="J215" s="980"/>
      <c r="K215" s="980"/>
      <c r="L215" s="1010">
        <f t="shared" si="26"/>
        <v>8000</v>
      </c>
      <c r="M215" s="1018"/>
      <c r="N215" s="979">
        <v>8000</v>
      </c>
      <c r="O215" s="981"/>
      <c r="P215" s="1019"/>
      <c r="Q215" s="1002">
        <v>0</v>
      </c>
      <c r="R215" s="1018"/>
      <c r="S215" s="1018"/>
      <c r="T215" s="981"/>
      <c r="U215" s="1018"/>
      <c r="V215" s="1018"/>
      <c r="W215" s="1019"/>
      <c r="X215" s="1018">
        <v>0</v>
      </c>
    </row>
    <row r="216" spans="1:24" s="8" customFormat="1" ht="84">
      <c r="B216" s="606">
        <v>3</v>
      </c>
      <c r="C216" s="602" t="s">
        <v>34</v>
      </c>
      <c r="D216" s="831" t="s">
        <v>327</v>
      </c>
      <c r="E216" s="1010">
        <f t="shared" si="24"/>
        <v>30000</v>
      </c>
      <c r="F216" s="1010">
        <f t="shared" si="25"/>
        <v>20000</v>
      </c>
      <c r="G216" s="1017">
        <v>20000</v>
      </c>
      <c r="H216" s="980"/>
      <c r="I216" s="980"/>
      <c r="J216" s="980"/>
      <c r="K216" s="980"/>
      <c r="L216" s="1010">
        <f t="shared" si="26"/>
        <v>10000</v>
      </c>
      <c r="M216" s="1018"/>
      <c r="N216" s="979">
        <v>10000</v>
      </c>
      <c r="O216" s="981"/>
      <c r="P216" s="1019"/>
      <c r="Q216" s="1002">
        <v>0</v>
      </c>
      <c r="R216" s="1018"/>
      <c r="S216" s="1018"/>
      <c r="T216" s="981"/>
      <c r="U216" s="1018"/>
      <c r="V216" s="1018"/>
      <c r="W216" s="1019"/>
      <c r="X216" s="1018">
        <v>0</v>
      </c>
    </row>
    <row r="217" spans="1:24" s="8" customFormat="1" ht="60">
      <c r="B217" s="606">
        <v>4</v>
      </c>
      <c r="C217" s="602" t="s">
        <v>34</v>
      </c>
      <c r="D217" s="875" t="s">
        <v>682</v>
      </c>
      <c r="E217" s="1010">
        <f t="shared" si="24"/>
        <v>151670</v>
      </c>
      <c r="F217" s="1010">
        <f t="shared" si="25"/>
        <v>20000</v>
      </c>
      <c r="G217" s="1017">
        <v>20000</v>
      </c>
      <c r="H217" s="980"/>
      <c r="I217" s="980"/>
      <c r="J217" s="980"/>
      <c r="K217" s="980"/>
      <c r="L217" s="1010">
        <f t="shared" si="26"/>
        <v>131670</v>
      </c>
      <c r="M217" s="1018">
        <v>10880</v>
      </c>
      <c r="N217" s="979">
        <v>5000</v>
      </c>
      <c r="O217" s="981">
        <v>9560</v>
      </c>
      <c r="P217" s="1019">
        <v>12800</v>
      </c>
      <c r="Q217" s="1002">
        <v>12000</v>
      </c>
      <c r="R217" s="992">
        <v>28390</v>
      </c>
      <c r="S217" s="1018">
        <v>3600</v>
      </c>
      <c r="T217" s="981">
        <v>18120</v>
      </c>
      <c r="U217" s="1018"/>
      <c r="V217" s="1018">
        <v>10560</v>
      </c>
      <c r="W217" s="981">
        <f>9120+5040+1440+1520</f>
        <v>17120</v>
      </c>
      <c r="X217" s="1018">
        <v>3640</v>
      </c>
    </row>
    <row r="218" spans="1:24" s="8" customFormat="1">
      <c r="B218" s="606">
        <v>5</v>
      </c>
      <c r="C218" s="602" t="s">
        <v>34</v>
      </c>
      <c r="D218" s="874" t="s">
        <v>92</v>
      </c>
      <c r="E218" s="1010">
        <f t="shared" si="24"/>
        <v>84988</v>
      </c>
      <c r="F218" s="1010">
        <f t="shared" si="25"/>
        <v>0</v>
      </c>
      <c r="G218" s="1017"/>
      <c r="H218" s="980"/>
      <c r="I218" s="980"/>
      <c r="J218" s="980"/>
      <c r="K218" s="980"/>
      <c r="L218" s="1010">
        <f t="shared" si="26"/>
        <v>84988</v>
      </c>
      <c r="M218" s="1019">
        <v>9800</v>
      </c>
      <c r="N218" s="979">
        <v>8000</v>
      </c>
      <c r="O218" s="981">
        <v>4680</v>
      </c>
      <c r="P218" s="1019">
        <v>6390</v>
      </c>
      <c r="Q218" s="1002">
        <v>2820</v>
      </c>
      <c r="R218" s="1019">
        <v>9010</v>
      </c>
      <c r="S218" s="1019">
        <v>4060</v>
      </c>
      <c r="T218" s="981">
        <v>9700</v>
      </c>
      <c r="U218" s="1019">
        <v>2760</v>
      </c>
      <c r="V218" s="1019">
        <v>13528</v>
      </c>
      <c r="W218" s="1019">
        <f>3700+2500</f>
        <v>6200</v>
      </c>
      <c r="X218" s="1019">
        <v>8040</v>
      </c>
    </row>
    <row r="219" spans="1:24" s="8" customFormat="1" ht="36">
      <c r="B219" s="606">
        <v>6</v>
      </c>
      <c r="C219" s="602" t="s">
        <v>34</v>
      </c>
      <c r="D219" s="838" t="s">
        <v>683</v>
      </c>
      <c r="E219" s="1010"/>
      <c r="F219" s="1010"/>
      <c r="G219" s="1017"/>
      <c r="H219" s="980"/>
      <c r="I219" s="980"/>
      <c r="J219" s="980"/>
      <c r="K219" s="980"/>
      <c r="L219" s="1010"/>
      <c r="M219" s="1019"/>
      <c r="N219" s="979"/>
      <c r="O219" s="981"/>
      <c r="P219" s="1019"/>
      <c r="Q219" s="1002"/>
      <c r="R219" s="1019"/>
      <c r="S219" s="1019"/>
      <c r="T219" s="981"/>
      <c r="U219" s="1019"/>
      <c r="V219" s="1019"/>
      <c r="W219" s="1019"/>
      <c r="X219" s="1019"/>
    </row>
    <row r="220" spans="1:24" s="8" customFormat="1">
      <c r="B220" s="606">
        <v>7</v>
      </c>
      <c r="C220" s="602" t="s">
        <v>34</v>
      </c>
      <c r="D220" s="817" t="s">
        <v>291</v>
      </c>
      <c r="E220" s="1010">
        <f t="shared" si="24"/>
        <v>0</v>
      </c>
      <c r="F220" s="1010">
        <f t="shared" si="25"/>
        <v>0</v>
      </c>
      <c r="G220" s="1017">
        <v>0</v>
      </c>
      <c r="H220" s="980"/>
      <c r="I220" s="980"/>
      <c r="J220" s="980"/>
      <c r="K220" s="980"/>
      <c r="L220" s="1010">
        <f t="shared" si="26"/>
        <v>0</v>
      </c>
      <c r="M220" s="992"/>
      <c r="N220" s="979"/>
      <c r="O220" s="981"/>
      <c r="P220" s="981"/>
      <c r="Q220" s="1002"/>
      <c r="R220" s="992"/>
      <c r="S220" s="992"/>
      <c r="T220" s="992"/>
      <c r="U220" s="979"/>
      <c r="V220" s="992"/>
      <c r="W220" s="992"/>
      <c r="X220" s="992"/>
    </row>
    <row r="221" spans="1:24" s="8" customFormat="1">
      <c r="B221" s="606">
        <v>8</v>
      </c>
      <c r="C221" s="602" t="s">
        <v>34</v>
      </c>
      <c r="D221" s="817" t="s">
        <v>290</v>
      </c>
      <c r="E221" s="1010">
        <f t="shared" si="24"/>
        <v>45000</v>
      </c>
      <c r="F221" s="1010">
        <f t="shared" si="25"/>
        <v>45000</v>
      </c>
      <c r="G221" s="1017">
        <v>45000</v>
      </c>
      <c r="H221" s="980"/>
      <c r="I221" s="980"/>
      <c r="J221" s="980"/>
      <c r="K221" s="980"/>
      <c r="L221" s="1010">
        <f t="shared" si="26"/>
        <v>0</v>
      </c>
      <c r="M221" s="992"/>
      <c r="N221" s="979"/>
      <c r="O221" s="981"/>
      <c r="P221" s="992"/>
      <c r="Q221" s="1002"/>
      <c r="R221" s="992"/>
      <c r="S221" s="992"/>
      <c r="T221" s="992"/>
      <c r="U221" s="979"/>
      <c r="V221" s="992"/>
      <c r="W221" s="992"/>
      <c r="X221" s="992"/>
    </row>
    <row r="222" spans="1:24" s="8" customFormat="1">
      <c r="B222" s="606">
        <v>9</v>
      </c>
      <c r="C222" s="602" t="s">
        <v>34</v>
      </c>
      <c r="D222" s="817" t="s">
        <v>292</v>
      </c>
      <c r="E222" s="1010">
        <f t="shared" si="24"/>
        <v>60000</v>
      </c>
      <c r="F222" s="1010">
        <f t="shared" si="25"/>
        <v>60000</v>
      </c>
      <c r="G222" s="1017">
        <v>60000</v>
      </c>
      <c r="H222" s="980"/>
      <c r="I222" s="980"/>
      <c r="J222" s="980"/>
      <c r="K222" s="980"/>
      <c r="L222" s="1010">
        <f t="shared" si="26"/>
        <v>0</v>
      </c>
      <c r="M222" s="992"/>
      <c r="N222" s="979"/>
      <c r="O222" s="981"/>
      <c r="P222" s="992"/>
      <c r="Q222" s="981"/>
      <c r="R222" s="992"/>
      <c r="S222" s="992"/>
      <c r="T222" s="992"/>
      <c r="U222" s="979"/>
      <c r="V222" s="992"/>
      <c r="W222" s="992"/>
      <c r="X222" s="992"/>
    </row>
    <row r="223" spans="1:24" s="8" customFormat="1" ht="60">
      <c r="B223" s="606">
        <v>10</v>
      </c>
      <c r="C223" s="602" t="s">
        <v>34</v>
      </c>
      <c r="D223" s="876" t="s">
        <v>346</v>
      </c>
      <c r="E223" s="1010">
        <f t="shared" si="24"/>
        <v>19210</v>
      </c>
      <c r="F223" s="1010">
        <f t="shared" si="25"/>
        <v>0</v>
      </c>
      <c r="G223" s="1017"/>
      <c r="H223" s="980"/>
      <c r="I223" s="980"/>
      <c r="J223" s="980"/>
      <c r="K223" s="980"/>
      <c r="L223" s="1010">
        <f t="shared" si="26"/>
        <v>19210</v>
      </c>
      <c r="M223" s="1019"/>
      <c r="N223" s="979">
        <v>0</v>
      </c>
      <c r="O223" s="981"/>
      <c r="P223" s="1019"/>
      <c r="Q223" s="1002">
        <v>0</v>
      </c>
      <c r="R223" s="1019"/>
      <c r="S223" s="1019">
        <v>1050</v>
      </c>
      <c r="T223" s="981"/>
      <c r="U223" s="981">
        <v>11160</v>
      </c>
      <c r="V223" s="1019">
        <v>7000</v>
      </c>
      <c r="W223" s="1019"/>
      <c r="X223" s="1019">
        <v>0</v>
      </c>
    </row>
    <row r="224" spans="1:24" s="8" customFormat="1">
      <c r="B224" s="606">
        <v>11</v>
      </c>
      <c r="C224" s="602" t="s">
        <v>34</v>
      </c>
      <c r="D224" s="876" t="s">
        <v>347</v>
      </c>
      <c r="E224" s="1010">
        <f t="shared" si="24"/>
        <v>5100</v>
      </c>
      <c r="F224" s="1010">
        <f t="shared" si="25"/>
        <v>0</v>
      </c>
      <c r="G224" s="1017"/>
      <c r="H224" s="980"/>
      <c r="I224" s="980"/>
      <c r="J224" s="980"/>
      <c r="K224" s="980"/>
      <c r="L224" s="1010">
        <f t="shared" si="26"/>
        <v>5100</v>
      </c>
      <c r="M224" s="1018"/>
      <c r="N224" s="979">
        <v>0</v>
      </c>
      <c r="O224" s="981"/>
      <c r="P224" s="1019"/>
      <c r="Q224" s="1002">
        <v>0</v>
      </c>
      <c r="R224" s="1018"/>
      <c r="S224" s="1018"/>
      <c r="T224" s="981"/>
      <c r="U224" s="1018"/>
      <c r="V224" s="1018">
        <v>5100</v>
      </c>
      <c r="W224" s="1018"/>
      <c r="X224" s="1018">
        <v>0</v>
      </c>
    </row>
    <row r="225" spans="1:52" s="8" customFormat="1" ht="36">
      <c r="B225" s="606">
        <v>12</v>
      </c>
      <c r="C225" s="602" t="s">
        <v>34</v>
      </c>
      <c r="D225" s="877" t="s">
        <v>684</v>
      </c>
      <c r="E225" s="1010"/>
      <c r="F225" s="1010"/>
      <c r="G225" s="1017"/>
      <c r="H225" s="980"/>
      <c r="I225" s="980"/>
      <c r="J225" s="980"/>
      <c r="K225" s="980"/>
      <c r="L225" s="1010"/>
      <c r="M225" s="992"/>
      <c r="N225" s="979"/>
      <c r="O225" s="981"/>
      <c r="P225" s="981"/>
      <c r="Q225" s="1002"/>
      <c r="R225" s="992"/>
      <c r="S225" s="992"/>
      <c r="T225" s="981"/>
      <c r="U225" s="981"/>
      <c r="V225" s="992"/>
      <c r="W225" s="992"/>
      <c r="X225" s="992"/>
    </row>
    <row r="226" spans="1:52" s="8" customFormat="1" ht="24">
      <c r="B226" s="606">
        <v>13</v>
      </c>
      <c r="C226" s="602" t="s">
        <v>34</v>
      </c>
      <c r="D226" s="878" t="s">
        <v>93</v>
      </c>
      <c r="E226" s="1010">
        <f t="shared" si="24"/>
        <v>40566</v>
      </c>
      <c r="F226" s="1010">
        <f t="shared" si="25"/>
        <v>0</v>
      </c>
      <c r="G226" s="1017"/>
      <c r="H226" s="980"/>
      <c r="I226" s="980"/>
      <c r="J226" s="980"/>
      <c r="K226" s="980"/>
      <c r="L226" s="1010">
        <f t="shared" si="26"/>
        <v>40566</v>
      </c>
      <c r="M226" s="992">
        <v>1166</v>
      </c>
      <c r="N226" s="979">
        <v>7200</v>
      </c>
      <c r="O226" s="981"/>
      <c r="P226" s="981">
        <v>11160</v>
      </c>
      <c r="Q226" s="1002">
        <v>0</v>
      </c>
      <c r="R226" s="992"/>
      <c r="S226" s="992">
        <v>3040</v>
      </c>
      <c r="T226" s="992"/>
      <c r="U226" s="979"/>
      <c r="V226" s="992">
        <v>18000</v>
      </c>
      <c r="W226" s="992"/>
      <c r="X226" s="992">
        <v>0</v>
      </c>
    </row>
    <row r="227" spans="1:52" s="8" customFormat="1" ht="24">
      <c r="B227" s="606">
        <v>14</v>
      </c>
      <c r="C227" s="602" t="s">
        <v>34</v>
      </c>
      <c r="D227" s="878" t="s">
        <v>94</v>
      </c>
      <c r="E227" s="1010">
        <f t="shared" si="24"/>
        <v>22000</v>
      </c>
      <c r="F227" s="1010">
        <f t="shared" si="25"/>
        <v>0</v>
      </c>
      <c r="G227" s="1017"/>
      <c r="H227" s="980"/>
      <c r="I227" s="980"/>
      <c r="J227" s="980"/>
      <c r="K227" s="980"/>
      <c r="L227" s="1010">
        <f t="shared" si="26"/>
        <v>22000</v>
      </c>
      <c r="M227" s="992"/>
      <c r="N227" s="979">
        <v>10200</v>
      </c>
      <c r="O227" s="981"/>
      <c r="P227" s="981"/>
      <c r="Q227" s="1002">
        <v>0</v>
      </c>
      <c r="R227" s="992"/>
      <c r="S227" s="992">
        <v>7600</v>
      </c>
      <c r="T227" s="992"/>
      <c r="U227" s="979"/>
      <c r="V227" s="992">
        <v>4200</v>
      </c>
      <c r="W227" s="992"/>
      <c r="X227" s="992">
        <v>0</v>
      </c>
    </row>
    <row r="228" spans="1:52" s="8" customFormat="1" ht="24">
      <c r="B228" s="606">
        <v>15</v>
      </c>
      <c r="C228" s="602" t="s">
        <v>34</v>
      </c>
      <c r="D228" s="879" t="s">
        <v>685</v>
      </c>
      <c r="E228" s="1010"/>
      <c r="F228" s="1010"/>
      <c r="G228" s="1017"/>
      <c r="H228" s="980"/>
      <c r="I228" s="980"/>
      <c r="J228" s="980"/>
      <c r="K228" s="980"/>
      <c r="L228" s="1010"/>
      <c r="M228" s="992"/>
      <c r="N228" s="979"/>
      <c r="O228" s="981"/>
      <c r="P228" s="981"/>
      <c r="Q228" s="1002"/>
      <c r="R228" s="992"/>
      <c r="S228" s="992"/>
      <c r="T228" s="992"/>
      <c r="U228" s="979"/>
      <c r="V228" s="992"/>
      <c r="W228" s="992"/>
      <c r="X228" s="992"/>
    </row>
    <row r="229" spans="1:52" s="8" customFormat="1" ht="24">
      <c r="B229" s="606">
        <v>16</v>
      </c>
      <c r="C229" s="602" t="s">
        <v>34</v>
      </c>
      <c r="D229" s="879" t="s">
        <v>686</v>
      </c>
      <c r="E229" s="1010"/>
      <c r="F229" s="1010"/>
      <c r="G229" s="1017"/>
      <c r="H229" s="980"/>
      <c r="I229" s="980"/>
      <c r="J229" s="980"/>
      <c r="K229" s="980"/>
      <c r="L229" s="1010"/>
      <c r="M229" s="992"/>
      <c r="N229" s="979"/>
      <c r="O229" s="981"/>
      <c r="P229" s="992"/>
      <c r="Q229" s="1002"/>
      <c r="R229" s="992"/>
      <c r="S229" s="992"/>
      <c r="T229" s="992"/>
      <c r="U229" s="979"/>
      <c r="V229" s="992"/>
      <c r="W229" s="992"/>
      <c r="X229" s="992"/>
    </row>
    <row r="230" spans="1:52" s="8" customFormat="1">
      <c r="B230" s="606">
        <v>17</v>
      </c>
      <c r="C230" s="602" t="s">
        <v>34</v>
      </c>
      <c r="D230" s="862" t="s">
        <v>213</v>
      </c>
      <c r="E230" s="1010">
        <f t="shared" si="24"/>
        <v>11520</v>
      </c>
      <c r="F230" s="1010">
        <f t="shared" si="25"/>
        <v>0</v>
      </c>
      <c r="G230" s="1017"/>
      <c r="H230" s="980"/>
      <c r="I230" s="980"/>
      <c r="J230" s="980"/>
      <c r="K230" s="980"/>
      <c r="L230" s="1010">
        <f t="shared" si="26"/>
        <v>11520</v>
      </c>
      <c r="M230" s="992"/>
      <c r="N230" s="979"/>
      <c r="O230" s="981"/>
      <c r="P230" s="992"/>
      <c r="Q230" s="981">
        <v>11520</v>
      </c>
      <c r="R230" s="992"/>
      <c r="S230" s="992"/>
      <c r="T230" s="992"/>
      <c r="U230" s="979"/>
      <c r="V230" s="992"/>
      <c r="W230" s="992"/>
      <c r="X230" s="992"/>
    </row>
    <row r="231" spans="1:52" s="8" customFormat="1" ht="36">
      <c r="B231" s="606">
        <v>18</v>
      </c>
      <c r="C231" s="602" t="s">
        <v>34</v>
      </c>
      <c r="D231" s="880" t="s">
        <v>351</v>
      </c>
      <c r="E231" s="1010">
        <f t="shared" si="24"/>
        <v>4176</v>
      </c>
      <c r="F231" s="1010">
        <f t="shared" si="25"/>
        <v>0</v>
      </c>
      <c r="G231" s="1017"/>
      <c r="H231" s="980"/>
      <c r="I231" s="980"/>
      <c r="J231" s="980"/>
      <c r="K231" s="980"/>
      <c r="L231" s="1010">
        <f t="shared" si="26"/>
        <v>4176</v>
      </c>
      <c r="M231" s="992"/>
      <c r="N231" s="979"/>
      <c r="O231" s="981"/>
      <c r="P231" s="992"/>
      <c r="Q231" s="981">
        <v>4176</v>
      </c>
      <c r="R231" s="992"/>
      <c r="S231" s="992"/>
      <c r="T231" s="992"/>
      <c r="U231" s="979"/>
      <c r="V231" s="992"/>
      <c r="W231" s="992"/>
      <c r="X231" s="992"/>
    </row>
    <row r="232" spans="1:52" s="8" customFormat="1" ht="36">
      <c r="B232" s="606">
        <v>19</v>
      </c>
      <c r="C232" s="602" t="s">
        <v>34</v>
      </c>
      <c r="D232" s="881" t="s">
        <v>687</v>
      </c>
      <c r="E232" s="1010"/>
      <c r="F232" s="1010"/>
      <c r="G232" s="1017"/>
      <c r="H232" s="980"/>
      <c r="I232" s="980"/>
      <c r="J232" s="980"/>
      <c r="K232" s="980"/>
      <c r="L232" s="1010"/>
      <c r="M232" s="992"/>
      <c r="N232" s="979"/>
      <c r="O232" s="981"/>
      <c r="P232" s="992"/>
      <c r="Q232" s="981"/>
      <c r="R232" s="992"/>
      <c r="S232" s="992"/>
      <c r="T232" s="992"/>
      <c r="U232" s="979"/>
      <c r="V232" s="992"/>
      <c r="W232" s="992"/>
      <c r="X232" s="992"/>
    </row>
    <row r="233" spans="1:52" s="5" customFormat="1">
      <c r="A233" s="5">
        <v>5</v>
      </c>
      <c r="B233" s="597">
        <v>5</v>
      </c>
      <c r="C233" s="596" t="s">
        <v>34</v>
      </c>
      <c r="D233" s="823" t="s">
        <v>236</v>
      </c>
      <c r="E233" s="990">
        <f t="shared" si="24"/>
        <v>11628026</v>
      </c>
      <c r="F233" s="990">
        <f t="shared" si="25"/>
        <v>1230070</v>
      </c>
      <c r="G233" s="974">
        <f>SUM(G234:G263)</f>
        <v>1230070</v>
      </c>
      <c r="H233" s="975">
        <f t="shared" ref="H233:X233" si="29">SUM(H234:H263)</f>
        <v>0</v>
      </c>
      <c r="I233" s="975">
        <f t="shared" si="29"/>
        <v>0</v>
      </c>
      <c r="J233" s="975">
        <f t="shared" si="29"/>
        <v>0</v>
      </c>
      <c r="K233" s="975">
        <f t="shared" si="29"/>
        <v>0</v>
      </c>
      <c r="L233" s="990">
        <f t="shared" si="26"/>
        <v>10397956</v>
      </c>
      <c r="M233" s="974">
        <f t="shared" si="29"/>
        <v>2472983</v>
      </c>
      <c r="N233" s="974">
        <f t="shared" si="29"/>
        <v>677210</v>
      </c>
      <c r="O233" s="974">
        <f t="shared" si="29"/>
        <v>845695</v>
      </c>
      <c r="P233" s="974">
        <f t="shared" si="29"/>
        <v>1123086</v>
      </c>
      <c r="Q233" s="974">
        <f t="shared" si="29"/>
        <v>1101526</v>
      </c>
      <c r="R233" s="974">
        <f t="shared" si="29"/>
        <v>711665</v>
      </c>
      <c r="S233" s="974">
        <f t="shared" si="29"/>
        <v>762900</v>
      </c>
      <c r="T233" s="974">
        <f t="shared" si="29"/>
        <v>330208</v>
      </c>
      <c r="U233" s="974">
        <f t="shared" si="29"/>
        <v>864591</v>
      </c>
      <c r="V233" s="974">
        <f t="shared" si="29"/>
        <v>536240</v>
      </c>
      <c r="W233" s="974">
        <f t="shared" si="29"/>
        <v>471069</v>
      </c>
      <c r="X233" s="974">
        <f t="shared" si="29"/>
        <v>500783</v>
      </c>
    </row>
    <row r="234" spans="1:52" s="26" customFormat="1" ht="36">
      <c r="B234" s="621">
        <v>1</v>
      </c>
      <c r="C234" s="605" t="s">
        <v>34</v>
      </c>
      <c r="D234" s="882" t="s">
        <v>233</v>
      </c>
      <c r="E234" s="973"/>
      <c r="F234" s="973"/>
      <c r="G234" s="995"/>
      <c r="H234" s="980"/>
      <c r="I234" s="980"/>
      <c r="J234" s="980"/>
      <c r="K234" s="980"/>
      <c r="L234" s="973"/>
      <c r="M234" s="979"/>
      <c r="N234" s="979"/>
      <c r="O234" s="995"/>
      <c r="P234" s="995"/>
      <c r="Q234" s="985"/>
      <c r="R234" s="995"/>
      <c r="S234" s="995"/>
      <c r="T234" s="995"/>
      <c r="U234" s="995"/>
      <c r="V234" s="995"/>
      <c r="W234" s="995"/>
      <c r="X234" s="979"/>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row>
    <row r="235" spans="1:52" s="26" customFormat="1" ht="24">
      <c r="B235" s="621">
        <v>2</v>
      </c>
      <c r="C235" s="605" t="s">
        <v>34</v>
      </c>
      <c r="D235" s="882" t="s">
        <v>452</v>
      </c>
      <c r="E235" s="973"/>
      <c r="F235" s="973"/>
      <c r="G235" s="995"/>
      <c r="H235" s="980"/>
      <c r="I235" s="980"/>
      <c r="J235" s="980"/>
      <c r="K235" s="980"/>
      <c r="L235" s="973"/>
      <c r="M235" s="979"/>
      <c r="N235" s="979"/>
      <c r="O235" s="995"/>
      <c r="P235" s="995"/>
      <c r="Q235" s="995"/>
      <c r="R235" s="995"/>
      <c r="S235" s="995"/>
      <c r="T235" s="995"/>
      <c r="U235" s="995"/>
      <c r="V235" s="995"/>
      <c r="W235" s="995"/>
      <c r="X235" s="979"/>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row>
    <row r="236" spans="1:52" s="26" customFormat="1">
      <c r="B236" s="621">
        <v>3</v>
      </c>
      <c r="C236" s="605" t="s">
        <v>34</v>
      </c>
      <c r="D236" s="883" t="s">
        <v>453</v>
      </c>
      <c r="E236" s="973">
        <f t="shared" si="24"/>
        <v>245442</v>
      </c>
      <c r="F236" s="973">
        <f t="shared" si="25"/>
        <v>40000</v>
      </c>
      <c r="G236" s="995">
        <v>40000</v>
      </c>
      <c r="H236" s="980"/>
      <c r="I236" s="980"/>
      <c r="J236" s="980"/>
      <c r="K236" s="980"/>
      <c r="L236" s="973">
        <f t="shared" si="26"/>
        <v>205442</v>
      </c>
      <c r="M236" s="979">
        <v>22500</v>
      </c>
      <c r="N236" s="979">
        <v>8000</v>
      </c>
      <c r="O236" s="995">
        <v>24700</v>
      </c>
      <c r="P236" s="995">
        <v>7800</v>
      </c>
      <c r="Q236" s="995">
        <v>8100</v>
      </c>
      <c r="R236" s="995">
        <v>8280</v>
      </c>
      <c r="S236" s="995">
        <v>47000</v>
      </c>
      <c r="T236" s="995">
        <v>22302</v>
      </c>
      <c r="U236" s="995">
        <v>31300</v>
      </c>
      <c r="V236" s="995">
        <v>9800</v>
      </c>
      <c r="W236" s="995">
        <v>7200</v>
      </c>
      <c r="X236" s="979">
        <v>8460</v>
      </c>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row>
    <row r="237" spans="1:52" s="26" customFormat="1">
      <c r="B237" s="621">
        <v>4</v>
      </c>
      <c r="C237" s="605" t="s">
        <v>34</v>
      </c>
      <c r="D237" s="883" t="s">
        <v>95</v>
      </c>
      <c r="E237" s="973"/>
      <c r="F237" s="973"/>
      <c r="G237" s="995"/>
      <c r="H237" s="980"/>
      <c r="I237" s="980"/>
      <c r="J237" s="980"/>
      <c r="K237" s="980"/>
      <c r="L237" s="973"/>
      <c r="M237" s="979"/>
      <c r="N237" s="979"/>
      <c r="O237" s="995"/>
      <c r="P237" s="995"/>
      <c r="Q237" s="985"/>
      <c r="R237" s="995"/>
      <c r="S237" s="995"/>
      <c r="T237" s="995"/>
      <c r="U237" s="995"/>
      <c r="V237" s="995"/>
      <c r="W237" s="995"/>
      <c r="X237" s="979"/>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row>
    <row r="238" spans="1:52" s="28" customFormat="1" ht="48">
      <c r="B238" s="621">
        <v>5</v>
      </c>
      <c r="C238" s="605" t="s">
        <v>34</v>
      </c>
      <c r="D238" s="882" t="s">
        <v>454</v>
      </c>
      <c r="E238" s="973">
        <f t="shared" si="24"/>
        <v>509658</v>
      </c>
      <c r="F238" s="973">
        <f t="shared" si="25"/>
        <v>100000</v>
      </c>
      <c r="G238" s="995">
        <v>100000</v>
      </c>
      <c r="H238" s="984"/>
      <c r="I238" s="984"/>
      <c r="J238" s="984"/>
      <c r="K238" s="984"/>
      <c r="L238" s="973">
        <f t="shared" si="26"/>
        <v>409658</v>
      </c>
      <c r="M238" s="979">
        <v>11195</v>
      </c>
      <c r="N238" s="983">
        <v>20000</v>
      </c>
      <c r="O238" s="995"/>
      <c r="P238" s="995">
        <v>14240</v>
      </c>
      <c r="Q238" s="985">
        <v>5120</v>
      </c>
      <c r="R238" s="995">
        <v>16272</v>
      </c>
      <c r="S238" s="995">
        <v>25000</v>
      </c>
      <c r="T238" s="995">
        <v>186831</v>
      </c>
      <c r="U238" s="995">
        <v>25000</v>
      </c>
      <c r="V238" s="995">
        <v>34000</v>
      </c>
      <c r="W238" s="995">
        <v>36000</v>
      </c>
      <c r="X238" s="979">
        <v>36000</v>
      </c>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row>
    <row r="239" spans="1:52" s="28" customFormat="1" ht="24">
      <c r="B239" s="621">
        <v>6</v>
      </c>
      <c r="C239" s="605" t="s">
        <v>34</v>
      </c>
      <c r="D239" s="882" t="s">
        <v>455</v>
      </c>
      <c r="E239" s="973"/>
      <c r="F239" s="973"/>
      <c r="G239" s="995"/>
      <c r="H239" s="984"/>
      <c r="I239" s="984"/>
      <c r="J239" s="984"/>
      <c r="K239" s="984"/>
      <c r="L239" s="973"/>
      <c r="M239" s="979"/>
      <c r="N239" s="983"/>
      <c r="O239" s="995"/>
      <c r="P239" s="995"/>
      <c r="Q239" s="995"/>
      <c r="R239" s="995"/>
      <c r="S239" s="1020"/>
      <c r="T239" s="995"/>
      <c r="U239" s="995"/>
      <c r="V239" s="995"/>
      <c r="W239" s="995"/>
      <c r="X239" s="979"/>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row>
    <row r="240" spans="1:52" s="28" customFormat="1" ht="24">
      <c r="B240" s="621">
        <v>7</v>
      </c>
      <c r="C240" s="605" t="s">
        <v>34</v>
      </c>
      <c r="D240" s="882" t="s">
        <v>97</v>
      </c>
      <c r="E240" s="973"/>
      <c r="F240" s="973"/>
      <c r="G240" s="995"/>
      <c r="H240" s="984"/>
      <c r="I240" s="984"/>
      <c r="J240" s="984"/>
      <c r="K240" s="984"/>
      <c r="L240" s="973"/>
      <c r="M240" s="979"/>
      <c r="N240" s="983"/>
      <c r="O240" s="995"/>
      <c r="P240" s="995"/>
      <c r="Q240" s="985"/>
      <c r="R240" s="995"/>
      <c r="S240" s="995"/>
      <c r="T240" s="995"/>
      <c r="U240" s="995"/>
      <c r="V240" s="995"/>
      <c r="W240" s="995"/>
      <c r="X240" s="979"/>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row>
    <row r="241" spans="2:58" s="28" customFormat="1" ht="24">
      <c r="B241" s="621">
        <v>8</v>
      </c>
      <c r="C241" s="605" t="s">
        <v>34</v>
      </c>
      <c r="D241" s="882" t="s">
        <v>98</v>
      </c>
      <c r="E241" s="973">
        <f t="shared" si="24"/>
        <v>375288</v>
      </c>
      <c r="F241" s="973">
        <f t="shared" si="25"/>
        <v>0</v>
      </c>
      <c r="G241" s="995">
        <v>0</v>
      </c>
      <c r="H241" s="984"/>
      <c r="I241" s="984"/>
      <c r="J241" s="984"/>
      <c r="K241" s="984"/>
      <c r="L241" s="973">
        <f t="shared" si="26"/>
        <v>375288</v>
      </c>
      <c r="M241" s="979">
        <v>36415</v>
      </c>
      <c r="N241" s="983">
        <v>20000</v>
      </c>
      <c r="O241" s="995">
        <v>26000</v>
      </c>
      <c r="P241" s="995">
        <v>45000</v>
      </c>
      <c r="Q241" s="995">
        <v>38500</v>
      </c>
      <c r="R241" s="995">
        <v>19448</v>
      </c>
      <c r="S241" s="995">
        <v>51000</v>
      </c>
      <c r="T241" s="995">
        <v>29325</v>
      </c>
      <c r="U241" s="995">
        <v>60000</v>
      </c>
      <c r="V241" s="995">
        <v>20000</v>
      </c>
      <c r="W241" s="995">
        <v>20000</v>
      </c>
      <c r="X241" s="979">
        <v>9600</v>
      </c>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row>
    <row r="242" spans="2:58" s="31" customFormat="1" ht="36">
      <c r="B242" s="621">
        <v>9</v>
      </c>
      <c r="C242" s="605" t="s">
        <v>34</v>
      </c>
      <c r="D242" s="884" t="s">
        <v>204</v>
      </c>
      <c r="E242" s="973">
        <f t="shared" si="24"/>
        <v>207500</v>
      </c>
      <c r="F242" s="973">
        <f t="shared" si="25"/>
        <v>0</v>
      </c>
      <c r="G242" s="995">
        <v>0</v>
      </c>
      <c r="H242" s="984"/>
      <c r="I242" s="984"/>
      <c r="J242" s="984"/>
      <c r="K242" s="984"/>
      <c r="L242" s="973">
        <f t="shared" si="26"/>
        <v>207500</v>
      </c>
      <c r="M242" s="981">
        <v>10000</v>
      </c>
      <c r="N242" s="983">
        <v>50000</v>
      </c>
      <c r="O242" s="995">
        <v>20000</v>
      </c>
      <c r="P242" s="995">
        <v>17000</v>
      </c>
      <c r="Q242" s="995">
        <v>10000</v>
      </c>
      <c r="R242" s="995"/>
      <c r="S242" s="995">
        <v>25000</v>
      </c>
      <c r="T242" s="995">
        <v>5000</v>
      </c>
      <c r="U242" s="983">
        <v>10000</v>
      </c>
      <c r="V242" s="995">
        <v>20000</v>
      </c>
      <c r="W242" s="995">
        <v>20000</v>
      </c>
      <c r="X242" s="979">
        <v>20500</v>
      </c>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c r="AU242" s="30"/>
      <c r="AV242" s="30"/>
      <c r="AW242" s="30"/>
      <c r="AX242" s="30"/>
      <c r="AY242" s="30"/>
      <c r="AZ242" s="30"/>
    </row>
    <row r="243" spans="2:58" s="31" customFormat="1" ht="24">
      <c r="B243" s="621">
        <v>10</v>
      </c>
      <c r="C243" s="605" t="s">
        <v>34</v>
      </c>
      <c r="D243" s="885" t="s">
        <v>214</v>
      </c>
      <c r="E243" s="973"/>
      <c r="F243" s="973"/>
      <c r="G243" s="995"/>
      <c r="H243" s="984"/>
      <c r="I243" s="984"/>
      <c r="J243" s="984"/>
      <c r="K243" s="984"/>
      <c r="L243" s="973"/>
      <c r="M243" s="983"/>
      <c r="N243" s="983"/>
      <c r="O243" s="985"/>
      <c r="P243" s="995"/>
      <c r="Q243" s="985"/>
      <c r="R243" s="995"/>
      <c r="S243" s="995"/>
      <c r="T243" s="983"/>
      <c r="U243" s="983"/>
      <c r="V243" s="995"/>
      <c r="W243" s="995"/>
      <c r="X243" s="979"/>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c r="AX243" s="30"/>
      <c r="AY243" s="30"/>
      <c r="AZ243" s="30"/>
    </row>
    <row r="244" spans="2:58" s="31" customFormat="1">
      <c r="B244" s="621">
        <v>11</v>
      </c>
      <c r="C244" s="605" t="s">
        <v>34</v>
      </c>
      <c r="D244" s="819" t="s">
        <v>290</v>
      </c>
      <c r="E244" s="973">
        <f t="shared" si="24"/>
        <v>13500</v>
      </c>
      <c r="F244" s="973">
        <f t="shared" si="25"/>
        <v>0</v>
      </c>
      <c r="G244" s="995">
        <v>0</v>
      </c>
      <c r="H244" s="984"/>
      <c r="I244" s="984"/>
      <c r="J244" s="984"/>
      <c r="K244" s="984"/>
      <c r="L244" s="973">
        <f t="shared" si="26"/>
        <v>13500</v>
      </c>
      <c r="M244" s="983"/>
      <c r="N244" s="983"/>
      <c r="O244" s="985"/>
      <c r="P244" s="995">
        <v>0</v>
      </c>
      <c r="Q244" s="985"/>
      <c r="R244" s="995"/>
      <c r="S244" s="995">
        <v>10000</v>
      </c>
      <c r="T244" s="983"/>
      <c r="U244" s="983"/>
      <c r="V244" s="995"/>
      <c r="W244" s="995">
        <v>3500</v>
      </c>
      <c r="X244" s="979">
        <v>0</v>
      </c>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c r="AU244" s="30"/>
      <c r="AV244" s="30"/>
      <c r="AW244" s="30"/>
      <c r="AX244" s="30"/>
      <c r="AY244" s="30"/>
      <c r="AZ244" s="30"/>
    </row>
    <row r="245" spans="2:58" s="16" customFormat="1" ht="36">
      <c r="B245" s="621">
        <v>12</v>
      </c>
      <c r="C245" s="605" t="s">
        <v>34</v>
      </c>
      <c r="D245" s="817" t="s">
        <v>456</v>
      </c>
      <c r="E245" s="973">
        <f t="shared" si="24"/>
        <v>6720085</v>
      </c>
      <c r="F245" s="973">
        <f t="shared" si="25"/>
        <v>394070</v>
      </c>
      <c r="G245" s="995">
        <v>394070</v>
      </c>
      <c r="H245" s="984"/>
      <c r="I245" s="984"/>
      <c r="J245" s="984"/>
      <c r="K245" s="984"/>
      <c r="L245" s="973">
        <f t="shared" si="26"/>
        <v>6326015</v>
      </c>
      <c r="M245" s="983">
        <v>2006566</v>
      </c>
      <c r="N245" s="983">
        <v>330210</v>
      </c>
      <c r="O245" s="985">
        <v>567000</v>
      </c>
      <c r="P245" s="995">
        <v>932501</v>
      </c>
      <c r="Q245" s="985">
        <v>761493</v>
      </c>
      <c r="R245" s="995">
        <v>513670</v>
      </c>
      <c r="S245" s="995">
        <v>168000</v>
      </c>
      <c r="T245" s="983"/>
      <c r="U245" s="983">
        <v>472188</v>
      </c>
      <c r="V245" s="995">
        <v>258650</v>
      </c>
      <c r="W245" s="995">
        <v>291850</v>
      </c>
      <c r="X245" s="979">
        <v>23887</v>
      </c>
      <c r="Y245" s="30"/>
      <c r="Z245" s="30"/>
      <c r="AA245" s="30"/>
      <c r="AB245" s="30"/>
      <c r="AC245" s="30"/>
      <c r="AD245" s="30"/>
      <c r="AE245" s="30"/>
      <c r="AF245" s="30"/>
      <c r="AG245" s="30"/>
      <c r="AH245" s="30"/>
      <c r="AI245" s="30"/>
      <c r="AJ245" s="30"/>
      <c r="AK245" s="30"/>
      <c r="AL245" s="30"/>
      <c r="AM245" s="30"/>
      <c r="AN245" s="30"/>
      <c r="AO245" s="30"/>
      <c r="AP245" s="30"/>
      <c r="AQ245" s="30"/>
      <c r="AR245" s="30"/>
      <c r="AS245" s="30"/>
      <c r="AT245" s="30"/>
      <c r="AU245" s="30"/>
      <c r="AV245" s="30"/>
      <c r="AW245" s="30"/>
      <c r="AX245" s="30"/>
      <c r="AY245" s="30"/>
      <c r="AZ245" s="30"/>
      <c r="BA245" s="31"/>
      <c r="BB245" s="31"/>
      <c r="BC245" s="31"/>
      <c r="BD245" s="31"/>
      <c r="BE245" s="31"/>
      <c r="BF245" s="31"/>
    </row>
    <row r="246" spans="2:58" s="16" customFormat="1">
      <c r="B246" s="621">
        <v>13</v>
      </c>
      <c r="C246" s="605" t="s">
        <v>34</v>
      </c>
      <c r="D246" s="819" t="s">
        <v>611</v>
      </c>
      <c r="E246" s="973">
        <f t="shared" si="24"/>
        <v>1017334</v>
      </c>
      <c r="F246" s="973">
        <f t="shared" si="25"/>
        <v>0</v>
      </c>
      <c r="G246" s="995">
        <v>0</v>
      </c>
      <c r="H246" s="984"/>
      <c r="I246" s="984"/>
      <c r="J246" s="984"/>
      <c r="K246" s="984"/>
      <c r="L246" s="973">
        <f t="shared" si="26"/>
        <v>1017334</v>
      </c>
      <c r="M246" s="983">
        <v>85027</v>
      </c>
      <c r="N246" s="983">
        <v>50000</v>
      </c>
      <c r="O246" s="985">
        <v>116995</v>
      </c>
      <c r="P246" s="995"/>
      <c r="Q246" s="985">
        <v>142133</v>
      </c>
      <c r="R246" s="995">
        <v>56595</v>
      </c>
      <c r="S246" s="995"/>
      <c r="T246" s="983"/>
      <c r="U246" s="983">
        <v>121888</v>
      </c>
      <c r="V246" s="995">
        <v>72390</v>
      </c>
      <c r="W246" s="995">
        <v>40650</v>
      </c>
      <c r="X246" s="979">
        <v>331656</v>
      </c>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c r="AU246" s="30"/>
      <c r="AV246" s="30"/>
      <c r="AW246" s="30"/>
      <c r="AX246" s="30"/>
      <c r="AY246" s="30"/>
      <c r="AZ246" s="30"/>
      <c r="BA246" s="31"/>
      <c r="BB246" s="31"/>
      <c r="BC246" s="31"/>
      <c r="BD246" s="31"/>
      <c r="BE246" s="31"/>
      <c r="BF246" s="31"/>
    </row>
    <row r="247" spans="2:58" s="16" customFormat="1" ht="36">
      <c r="B247" s="621">
        <v>14</v>
      </c>
      <c r="C247" s="605" t="s">
        <v>34</v>
      </c>
      <c r="D247" s="818" t="s">
        <v>458</v>
      </c>
      <c r="E247" s="973">
        <f t="shared" si="24"/>
        <v>58200</v>
      </c>
      <c r="F247" s="973">
        <f t="shared" si="25"/>
        <v>50000</v>
      </c>
      <c r="G247" s="995">
        <v>50000</v>
      </c>
      <c r="H247" s="984"/>
      <c r="I247" s="984"/>
      <c r="J247" s="984"/>
      <c r="K247" s="984"/>
      <c r="L247" s="973">
        <f t="shared" si="26"/>
        <v>8200</v>
      </c>
      <c r="M247" s="983">
        <v>0</v>
      </c>
      <c r="N247" s="983">
        <v>0</v>
      </c>
      <c r="O247" s="985"/>
      <c r="P247" s="995">
        <v>0</v>
      </c>
      <c r="Q247" s="985"/>
      <c r="R247" s="995"/>
      <c r="S247" s="995">
        <v>5700</v>
      </c>
      <c r="T247" s="983"/>
      <c r="U247" s="983">
        <v>2500</v>
      </c>
      <c r="V247" s="995"/>
      <c r="W247" s="995"/>
      <c r="X247" s="979">
        <v>0</v>
      </c>
      <c r="Y247" s="30"/>
      <c r="Z247" s="30"/>
      <c r="AA247" s="30"/>
      <c r="AB247" s="30"/>
      <c r="AC247" s="30"/>
      <c r="AD247" s="30"/>
      <c r="AE247" s="30"/>
      <c r="AF247" s="30"/>
      <c r="AG247" s="30"/>
      <c r="AH247" s="30"/>
      <c r="AI247" s="30"/>
      <c r="AJ247" s="30"/>
      <c r="AK247" s="30"/>
      <c r="AL247" s="30"/>
      <c r="AM247" s="30"/>
      <c r="AN247" s="30"/>
      <c r="AO247" s="30"/>
      <c r="AP247" s="30"/>
      <c r="AQ247" s="30"/>
      <c r="AR247" s="30"/>
      <c r="AS247" s="30"/>
      <c r="AT247" s="30"/>
      <c r="AU247" s="30"/>
      <c r="AV247" s="30"/>
      <c r="AW247" s="30"/>
      <c r="AX247" s="30"/>
      <c r="AY247" s="30"/>
      <c r="AZ247" s="30"/>
      <c r="BA247" s="31"/>
      <c r="BB247" s="31"/>
      <c r="BC247" s="31"/>
      <c r="BD247" s="31"/>
      <c r="BE247" s="31"/>
      <c r="BF247" s="31"/>
    </row>
    <row r="248" spans="2:58" s="16" customFormat="1" ht="24">
      <c r="B248" s="621">
        <v>15</v>
      </c>
      <c r="C248" s="605" t="s">
        <v>34</v>
      </c>
      <c r="D248" s="819" t="s">
        <v>459</v>
      </c>
      <c r="E248" s="973">
        <f t="shared" si="24"/>
        <v>22050</v>
      </c>
      <c r="F248" s="973">
        <f t="shared" si="25"/>
        <v>0</v>
      </c>
      <c r="G248" s="995">
        <v>0</v>
      </c>
      <c r="H248" s="984"/>
      <c r="I248" s="984"/>
      <c r="J248" s="984"/>
      <c r="K248" s="984"/>
      <c r="L248" s="973">
        <f t="shared" si="26"/>
        <v>22050</v>
      </c>
      <c r="M248" s="983">
        <v>15000</v>
      </c>
      <c r="N248" s="983">
        <v>1000</v>
      </c>
      <c r="O248" s="985"/>
      <c r="P248" s="995">
        <v>0</v>
      </c>
      <c r="Q248" s="985">
        <v>2000</v>
      </c>
      <c r="R248" s="995"/>
      <c r="S248" s="995">
        <v>2700</v>
      </c>
      <c r="T248" s="983">
        <v>450</v>
      </c>
      <c r="U248" s="983"/>
      <c r="V248" s="995"/>
      <c r="W248" s="995"/>
      <c r="X248" s="979">
        <v>900</v>
      </c>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c r="AU248" s="30"/>
      <c r="AV248" s="30"/>
      <c r="AW248" s="30"/>
      <c r="AX248" s="30"/>
      <c r="AY248" s="30"/>
      <c r="AZ248" s="30"/>
      <c r="BA248" s="31"/>
      <c r="BB248" s="31"/>
      <c r="BC248" s="31"/>
      <c r="BD248" s="31"/>
      <c r="BE248" s="31"/>
      <c r="BF248" s="31"/>
    </row>
    <row r="249" spans="2:58" s="16" customFormat="1" ht="24">
      <c r="B249" s="621">
        <v>16</v>
      </c>
      <c r="C249" s="605" t="s">
        <v>34</v>
      </c>
      <c r="D249" s="819" t="s">
        <v>460</v>
      </c>
      <c r="E249" s="973">
        <f t="shared" si="24"/>
        <v>7100</v>
      </c>
      <c r="F249" s="973">
        <f t="shared" si="25"/>
        <v>0</v>
      </c>
      <c r="G249" s="995">
        <v>0</v>
      </c>
      <c r="H249" s="984"/>
      <c r="I249" s="984"/>
      <c r="J249" s="984"/>
      <c r="K249" s="984"/>
      <c r="L249" s="973">
        <f t="shared" si="26"/>
        <v>7100</v>
      </c>
      <c r="M249" s="983">
        <v>1200</v>
      </c>
      <c r="N249" s="983">
        <v>1000</v>
      </c>
      <c r="O249" s="985"/>
      <c r="P249" s="995">
        <v>0</v>
      </c>
      <c r="Q249" s="985">
        <v>1000</v>
      </c>
      <c r="R249" s="995"/>
      <c r="S249" s="995">
        <v>2700</v>
      </c>
      <c r="T249" s="983">
        <v>400</v>
      </c>
      <c r="U249" s="983"/>
      <c r="V249" s="995"/>
      <c r="W249" s="995"/>
      <c r="X249" s="979">
        <v>800</v>
      </c>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c r="AY249" s="30"/>
      <c r="AZ249" s="30"/>
      <c r="BA249" s="31"/>
      <c r="BB249" s="31"/>
      <c r="BC249" s="31"/>
      <c r="BD249" s="31"/>
      <c r="BE249" s="31"/>
      <c r="BF249" s="31"/>
    </row>
    <row r="250" spans="2:58" s="16" customFormat="1" ht="48">
      <c r="B250" s="621">
        <v>17</v>
      </c>
      <c r="C250" s="605" t="s">
        <v>34</v>
      </c>
      <c r="D250" s="819" t="s">
        <v>461</v>
      </c>
      <c r="E250" s="973">
        <f t="shared" si="24"/>
        <v>493374</v>
      </c>
      <c r="F250" s="973">
        <f t="shared" si="25"/>
        <v>46800</v>
      </c>
      <c r="G250" s="995">
        <v>46800</v>
      </c>
      <c r="H250" s="984"/>
      <c r="I250" s="984"/>
      <c r="J250" s="984"/>
      <c r="K250" s="984"/>
      <c r="L250" s="973">
        <f t="shared" si="26"/>
        <v>446574</v>
      </c>
      <c r="M250" s="983">
        <v>80000</v>
      </c>
      <c r="N250" s="983">
        <v>50000</v>
      </c>
      <c r="O250" s="985">
        <v>18000</v>
      </c>
      <c r="P250" s="995">
        <v>50825</v>
      </c>
      <c r="Q250" s="985">
        <v>30000</v>
      </c>
      <c r="R250" s="995">
        <v>15000</v>
      </c>
      <c r="S250" s="995">
        <v>102800</v>
      </c>
      <c r="T250" s="983"/>
      <c r="U250" s="983">
        <v>35000</v>
      </c>
      <c r="V250" s="995">
        <v>7000</v>
      </c>
      <c r="W250" s="995">
        <v>35869</v>
      </c>
      <c r="X250" s="979">
        <v>22080</v>
      </c>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c r="AX250" s="30"/>
      <c r="AY250" s="30"/>
      <c r="AZ250" s="30"/>
      <c r="BA250" s="31"/>
      <c r="BB250" s="31"/>
      <c r="BC250" s="31"/>
      <c r="BD250" s="31"/>
      <c r="BE250" s="31"/>
      <c r="BF250" s="31"/>
    </row>
    <row r="251" spans="2:58" s="16" customFormat="1" ht="48">
      <c r="B251" s="621">
        <v>18</v>
      </c>
      <c r="C251" s="605" t="s">
        <v>34</v>
      </c>
      <c r="D251" s="818" t="s">
        <v>462</v>
      </c>
      <c r="E251" s="973">
        <f t="shared" si="24"/>
        <v>474992</v>
      </c>
      <c r="F251" s="973">
        <f t="shared" si="25"/>
        <v>293000</v>
      </c>
      <c r="G251" s="995">
        <v>293000</v>
      </c>
      <c r="H251" s="984"/>
      <c r="I251" s="984"/>
      <c r="J251" s="984"/>
      <c r="K251" s="984"/>
      <c r="L251" s="973">
        <f t="shared" si="26"/>
        <v>181992</v>
      </c>
      <c r="M251" s="983">
        <v>4080</v>
      </c>
      <c r="N251" s="983">
        <v>30000</v>
      </c>
      <c r="O251" s="985"/>
      <c r="P251" s="995">
        <v>7200</v>
      </c>
      <c r="Q251" s="985">
        <v>7680</v>
      </c>
      <c r="R251" s="995">
        <v>35200</v>
      </c>
      <c r="S251" s="995">
        <v>25000</v>
      </c>
      <c r="T251" s="983"/>
      <c r="U251" s="983">
        <v>53832</v>
      </c>
      <c r="V251" s="995">
        <v>14400</v>
      </c>
      <c r="W251" s="995"/>
      <c r="X251" s="979">
        <v>4600</v>
      </c>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c r="AY251" s="30"/>
      <c r="AZ251" s="30"/>
      <c r="BA251" s="31"/>
      <c r="BB251" s="31"/>
      <c r="BC251" s="31"/>
      <c r="BD251" s="31"/>
      <c r="BE251" s="31"/>
      <c r="BF251" s="31"/>
    </row>
    <row r="252" spans="2:58" s="16" customFormat="1" ht="36">
      <c r="B252" s="621">
        <v>19</v>
      </c>
      <c r="C252" s="605" t="s">
        <v>34</v>
      </c>
      <c r="D252" s="819" t="s">
        <v>463</v>
      </c>
      <c r="E252" s="973">
        <f t="shared" si="24"/>
        <v>197300</v>
      </c>
      <c r="F252" s="973">
        <f t="shared" si="25"/>
        <v>95000</v>
      </c>
      <c r="G252" s="995">
        <v>95000</v>
      </c>
      <c r="H252" s="984"/>
      <c r="I252" s="984"/>
      <c r="J252" s="984"/>
      <c r="K252" s="984"/>
      <c r="L252" s="973">
        <f t="shared" si="26"/>
        <v>102300</v>
      </c>
      <c r="M252" s="983">
        <v>10000</v>
      </c>
      <c r="N252" s="983">
        <v>20000</v>
      </c>
      <c r="O252" s="985"/>
      <c r="P252" s="995">
        <v>0</v>
      </c>
      <c r="Q252" s="985">
        <v>21000</v>
      </c>
      <c r="R252" s="995"/>
      <c r="S252" s="995">
        <v>35000</v>
      </c>
      <c r="T252" s="983"/>
      <c r="U252" s="983">
        <v>10000</v>
      </c>
      <c r="V252" s="995"/>
      <c r="W252" s="995"/>
      <c r="X252" s="979">
        <v>6300</v>
      </c>
      <c r="Y252" s="30"/>
      <c r="Z252" s="30"/>
      <c r="AA252" s="30"/>
      <c r="AB252" s="30"/>
      <c r="AC252" s="30"/>
      <c r="AD252" s="30"/>
      <c r="AE252" s="30"/>
      <c r="AF252" s="30"/>
      <c r="AG252" s="30"/>
      <c r="AH252" s="30"/>
      <c r="AI252" s="30"/>
      <c r="AJ252" s="30"/>
      <c r="AK252" s="30"/>
      <c r="AL252" s="30"/>
      <c r="AM252" s="30"/>
      <c r="AN252" s="30"/>
      <c r="AO252" s="30"/>
      <c r="AP252" s="30"/>
      <c r="AQ252" s="30"/>
      <c r="AR252" s="30"/>
      <c r="AS252" s="30"/>
      <c r="AT252" s="30"/>
      <c r="AU252" s="30"/>
      <c r="AV252" s="30"/>
      <c r="AW252" s="30"/>
      <c r="AX252" s="30"/>
      <c r="AY252" s="30"/>
      <c r="AZ252" s="30"/>
      <c r="BA252" s="31"/>
      <c r="BB252" s="31"/>
      <c r="BC252" s="31"/>
      <c r="BD252" s="31"/>
      <c r="BE252" s="31"/>
      <c r="BF252" s="31"/>
    </row>
    <row r="253" spans="2:58" s="16" customFormat="1" ht="36">
      <c r="B253" s="621">
        <v>20</v>
      </c>
      <c r="C253" s="605" t="s">
        <v>34</v>
      </c>
      <c r="D253" s="819" t="s">
        <v>464</v>
      </c>
      <c r="E253" s="973">
        <f t="shared" si="24"/>
        <v>690083</v>
      </c>
      <c r="F253" s="973">
        <f t="shared" si="25"/>
        <v>211200</v>
      </c>
      <c r="G253" s="995">
        <v>211200</v>
      </c>
      <c r="H253" s="984"/>
      <c r="I253" s="984"/>
      <c r="J253" s="984"/>
      <c r="K253" s="984"/>
      <c r="L253" s="973">
        <f t="shared" si="26"/>
        <v>478883</v>
      </c>
      <c r="M253" s="983">
        <v>50000</v>
      </c>
      <c r="N253" s="983">
        <v>50000</v>
      </c>
      <c r="O253" s="985"/>
      <c r="P253" s="995">
        <v>0</v>
      </c>
      <c r="Q253" s="985">
        <v>30000</v>
      </c>
      <c r="R253" s="995">
        <v>6000</v>
      </c>
      <c r="S253" s="995">
        <v>216000</v>
      </c>
      <c r="T253" s="983"/>
      <c r="U253" s="983">
        <v>6883</v>
      </c>
      <c r="V253" s="995">
        <v>100000</v>
      </c>
      <c r="W253" s="995"/>
      <c r="X253" s="979">
        <v>20000</v>
      </c>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c r="AU253" s="30"/>
      <c r="AV253" s="30"/>
      <c r="AW253" s="30"/>
      <c r="AX253" s="30"/>
      <c r="AY253" s="30"/>
      <c r="AZ253" s="30"/>
      <c r="BA253" s="31"/>
      <c r="BB253" s="31"/>
      <c r="BC253" s="31"/>
      <c r="BD253" s="31"/>
      <c r="BE253" s="31"/>
      <c r="BF253" s="31"/>
    </row>
    <row r="254" spans="2:58" s="16" customFormat="1" ht="48">
      <c r="B254" s="621">
        <v>21</v>
      </c>
      <c r="C254" s="605" t="s">
        <v>34</v>
      </c>
      <c r="D254" s="886" t="s">
        <v>688</v>
      </c>
      <c r="E254" s="973"/>
      <c r="F254" s="973"/>
      <c r="G254" s="995"/>
      <c r="H254" s="984"/>
      <c r="I254" s="984"/>
      <c r="J254" s="984"/>
      <c r="K254" s="984"/>
      <c r="L254" s="973"/>
      <c r="M254" s="983"/>
      <c r="N254" s="983"/>
      <c r="O254" s="985"/>
      <c r="P254" s="995"/>
      <c r="Q254" s="985"/>
      <c r="R254" s="995"/>
      <c r="S254" s="995"/>
      <c r="T254" s="983"/>
      <c r="U254" s="983"/>
      <c r="V254" s="995"/>
      <c r="W254" s="995"/>
      <c r="X254" s="979"/>
      <c r="Y254" s="30"/>
      <c r="Z254" s="30"/>
      <c r="AA254" s="30"/>
      <c r="AB254" s="30"/>
      <c r="AC254" s="30"/>
      <c r="AD254" s="30"/>
      <c r="AE254" s="30"/>
      <c r="AF254" s="30"/>
      <c r="AG254" s="30"/>
      <c r="AH254" s="30"/>
      <c r="AI254" s="30"/>
      <c r="AJ254" s="30"/>
      <c r="AK254" s="30"/>
      <c r="AL254" s="30"/>
      <c r="AM254" s="30"/>
      <c r="AN254" s="30"/>
      <c r="AO254" s="30"/>
      <c r="AP254" s="30"/>
      <c r="AQ254" s="30"/>
      <c r="AR254" s="30"/>
      <c r="AS254" s="30"/>
      <c r="AT254" s="30"/>
      <c r="AU254" s="30"/>
      <c r="AV254" s="30"/>
      <c r="AW254" s="30"/>
      <c r="AX254" s="30"/>
      <c r="AY254" s="30"/>
      <c r="AZ254" s="30"/>
      <c r="BA254" s="31"/>
      <c r="BB254" s="31"/>
      <c r="BC254" s="31"/>
      <c r="BD254" s="31"/>
      <c r="BE254" s="31"/>
      <c r="BF254" s="31"/>
    </row>
    <row r="255" spans="2:58" s="16" customFormat="1">
      <c r="B255" s="621">
        <v>22</v>
      </c>
      <c r="C255" s="605" t="s">
        <v>34</v>
      </c>
      <c r="D255" s="886" t="s">
        <v>689</v>
      </c>
      <c r="E255" s="973"/>
      <c r="F255" s="973"/>
      <c r="G255" s="995"/>
      <c r="H255" s="984"/>
      <c r="I255" s="984"/>
      <c r="J255" s="984"/>
      <c r="K255" s="984"/>
      <c r="L255" s="973"/>
      <c r="M255" s="983"/>
      <c r="N255" s="983"/>
      <c r="O255" s="985"/>
      <c r="P255" s="995"/>
      <c r="Q255" s="985"/>
      <c r="R255" s="995"/>
      <c r="S255" s="995"/>
      <c r="T255" s="983"/>
      <c r="U255" s="983"/>
      <c r="V255" s="995"/>
      <c r="W255" s="995"/>
      <c r="X255" s="979"/>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c r="AU255" s="30"/>
      <c r="AV255" s="30"/>
      <c r="AW255" s="30"/>
      <c r="AX255" s="30"/>
      <c r="AY255" s="30"/>
      <c r="AZ255" s="30"/>
      <c r="BA255" s="31"/>
      <c r="BB255" s="31"/>
      <c r="BC255" s="31"/>
      <c r="BD255" s="31"/>
      <c r="BE255" s="31"/>
      <c r="BF255" s="31"/>
    </row>
    <row r="256" spans="2:58" s="16" customFormat="1" ht="36">
      <c r="B256" s="621">
        <v>23</v>
      </c>
      <c r="C256" s="605" t="s">
        <v>34</v>
      </c>
      <c r="D256" s="886" t="s">
        <v>690</v>
      </c>
      <c r="E256" s="973"/>
      <c r="F256" s="973"/>
      <c r="G256" s="995"/>
      <c r="H256" s="984"/>
      <c r="I256" s="984"/>
      <c r="J256" s="984"/>
      <c r="K256" s="984"/>
      <c r="L256" s="973"/>
      <c r="M256" s="983"/>
      <c r="N256" s="983"/>
      <c r="O256" s="985"/>
      <c r="P256" s="995"/>
      <c r="Q256" s="985"/>
      <c r="R256" s="995"/>
      <c r="S256" s="995"/>
      <c r="T256" s="983"/>
      <c r="U256" s="983"/>
      <c r="V256" s="995"/>
      <c r="W256" s="995"/>
      <c r="X256" s="979"/>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c r="AY256" s="30"/>
      <c r="AZ256" s="30"/>
      <c r="BA256" s="31"/>
      <c r="BB256" s="31"/>
      <c r="BC256" s="31"/>
      <c r="BD256" s="31"/>
      <c r="BE256" s="31"/>
      <c r="BF256" s="31"/>
    </row>
    <row r="257" spans="1:58" s="33" customFormat="1" ht="72">
      <c r="B257" s="621">
        <v>24</v>
      </c>
      <c r="C257" s="605" t="s">
        <v>34</v>
      </c>
      <c r="D257" s="886" t="s">
        <v>691</v>
      </c>
      <c r="E257" s="973"/>
      <c r="F257" s="973"/>
      <c r="G257" s="995"/>
      <c r="H257" s="984"/>
      <c r="I257" s="984"/>
      <c r="J257" s="984"/>
      <c r="K257" s="984"/>
      <c r="L257" s="973"/>
      <c r="M257" s="983"/>
      <c r="N257" s="983"/>
      <c r="O257" s="985"/>
      <c r="P257" s="995"/>
      <c r="Q257" s="985"/>
      <c r="R257" s="995"/>
      <c r="S257" s="995"/>
      <c r="T257" s="983"/>
      <c r="U257" s="983"/>
      <c r="V257" s="995"/>
      <c r="W257" s="995"/>
      <c r="X257" s="979"/>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c r="AU257" s="30"/>
      <c r="AV257" s="30"/>
      <c r="AW257" s="30"/>
      <c r="AX257" s="30"/>
      <c r="AY257" s="30"/>
      <c r="AZ257" s="30"/>
      <c r="BA257" s="32"/>
      <c r="BB257" s="29"/>
      <c r="BC257" s="29"/>
      <c r="BD257" s="29"/>
      <c r="BE257" s="29"/>
      <c r="BF257" s="29"/>
    </row>
    <row r="258" spans="1:58" s="29" customFormat="1" ht="24">
      <c r="B258" s="621">
        <v>25</v>
      </c>
      <c r="C258" s="605" t="s">
        <v>34</v>
      </c>
      <c r="D258" s="819" t="s">
        <v>468</v>
      </c>
      <c r="E258" s="973">
        <f t="shared" si="24"/>
        <v>353020</v>
      </c>
      <c r="F258" s="973">
        <f t="shared" si="25"/>
        <v>0</v>
      </c>
      <c r="G258" s="995">
        <v>0</v>
      </c>
      <c r="H258" s="984"/>
      <c r="I258" s="984"/>
      <c r="J258" s="984"/>
      <c r="K258" s="984"/>
      <c r="L258" s="973">
        <f t="shared" si="26"/>
        <v>353020</v>
      </c>
      <c r="M258" s="983">
        <v>41000</v>
      </c>
      <c r="N258" s="995">
        <v>13000</v>
      </c>
      <c r="O258" s="985">
        <v>29000</v>
      </c>
      <c r="P258" s="995">
        <v>48520</v>
      </c>
      <c r="Q258" s="985">
        <v>44500</v>
      </c>
      <c r="R258" s="995">
        <v>22000</v>
      </c>
      <c r="S258" s="985">
        <v>47000</v>
      </c>
      <c r="T258" s="983">
        <v>40000</v>
      </c>
      <c r="U258" s="983">
        <v>36000</v>
      </c>
      <c r="V258" s="995">
        <v>0</v>
      </c>
      <c r="W258" s="995">
        <v>16000</v>
      </c>
      <c r="X258" s="995">
        <v>16000</v>
      </c>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c r="AU258" s="30"/>
      <c r="AV258" s="30"/>
      <c r="AW258" s="30"/>
      <c r="AX258" s="30"/>
      <c r="AY258" s="30"/>
      <c r="AZ258" s="30"/>
      <c r="BA258" s="32"/>
    </row>
    <row r="259" spans="1:58" s="33" customFormat="1">
      <c r="B259" s="621">
        <v>26</v>
      </c>
      <c r="C259" s="605" t="s">
        <v>34</v>
      </c>
      <c r="D259" s="819" t="s">
        <v>469</v>
      </c>
      <c r="E259" s="973"/>
      <c r="F259" s="973"/>
      <c r="G259" s="995"/>
      <c r="H259" s="984"/>
      <c r="I259" s="984"/>
      <c r="J259" s="984"/>
      <c r="K259" s="984"/>
      <c r="L259" s="973"/>
      <c r="M259" s="983"/>
      <c r="N259" s="995"/>
      <c r="O259" s="985"/>
      <c r="P259" s="995"/>
      <c r="Q259" s="985"/>
      <c r="R259" s="995"/>
      <c r="S259" s="985"/>
      <c r="T259" s="983"/>
      <c r="U259" s="983"/>
      <c r="V259" s="995"/>
      <c r="W259" s="995"/>
      <c r="X259" s="979"/>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c r="AY259" s="30"/>
      <c r="AZ259" s="30"/>
      <c r="BA259" s="32"/>
      <c r="BB259" s="29"/>
      <c r="BC259" s="29"/>
      <c r="BD259" s="29"/>
      <c r="BE259" s="29"/>
      <c r="BF259" s="29"/>
    </row>
    <row r="260" spans="1:58" s="33" customFormat="1" ht="48">
      <c r="B260" s="621">
        <v>27</v>
      </c>
      <c r="C260" s="605" t="s">
        <v>34</v>
      </c>
      <c r="D260" s="886" t="s">
        <v>692</v>
      </c>
      <c r="E260" s="973"/>
      <c r="F260" s="973"/>
      <c r="G260" s="995"/>
      <c r="H260" s="984"/>
      <c r="I260" s="984"/>
      <c r="J260" s="984"/>
      <c r="K260" s="984"/>
      <c r="L260" s="973"/>
      <c r="M260" s="983"/>
      <c r="N260" s="995"/>
      <c r="O260" s="985"/>
      <c r="P260" s="995"/>
      <c r="Q260" s="985"/>
      <c r="R260" s="995"/>
      <c r="S260" s="985"/>
      <c r="T260" s="983"/>
      <c r="U260" s="983"/>
      <c r="V260" s="995"/>
      <c r="W260" s="995"/>
      <c r="X260" s="979"/>
      <c r="Y260" s="30"/>
      <c r="Z260" s="30"/>
      <c r="AA260" s="30"/>
      <c r="AB260" s="30"/>
      <c r="AC260" s="30"/>
      <c r="AD260" s="30"/>
      <c r="AE260" s="30"/>
      <c r="AF260" s="30"/>
      <c r="AG260" s="30"/>
      <c r="AH260" s="30"/>
      <c r="AI260" s="30"/>
      <c r="AJ260" s="30"/>
      <c r="AK260" s="30"/>
      <c r="AL260" s="30"/>
      <c r="AM260" s="30"/>
      <c r="AN260" s="30"/>
      <c r="AO260" s="30"/>
      <c r="AP260" s="30"/>
      <c r="AQ260" s="30"/>
      <c r="AR260" s="30"/>
      <c r="AS260" s="30"/>
      <c r="AT260" s="30"/>
      <c r="AU260" s="30"/>
      <c r="AV260" s="30"/>
      <c r="AW260" s="30"/>
      <c r="AX260" s="30"/>
      <c r="AY260" s="30"/>
      <c r="AZ260" s="30"/>
      <c r="BA260" s="32"/>
      <c r="BB260" s="29"/>
      <c r="BC260" s="29"/>
      <c r="BD260" s="29"/>
      <c r="BE260" s="29"/>
      <c r="BF260" s="29"/>
    </row>
    <row r="261" spans="1:58" s="33" customFormat="1" ht="36">
      <c r="B261" s="621">
        <v>28</v>
      </c>
      <c r="C261" s="605" t="s">
        <v>34</v>
      </c>
      <c r="D261" s="886" t="s">
        <v>693</v>
      </c>
      <c r="E261" s="973">
        <f t="shared" si="24"/>
        <v>44000</v>
      </c>
      <c r="F261" s="973">
        <f t="shared" si="25"/>
        <v>0</v>
      </c>
      <c r="G261" s="995">
        <v>0</v>
      </c>
      <c r="H261" s="984"/>
      <c r="I261" s="984"/>
      <c r="J261" s="984"/>
      <c r="K261" s="984"/>
      <c r="L261" s="973">
        <f t="shared" si="26"/>
        <v>44000</v>
      </c>
      <c r="M261" s="983"/>
      <c r="N261" s="995"/>
      <c r="O261" s="985">
        <v>44000</v>
      </c>
      <c r="P261" s="995"/>
      <c r="Q261" s="985"/>
      <c r="R261" s="995"/>
      <c r="S261" s="985"/>
      <c r="T261" s="983"/>
      <c r="U261" s="983"/>
      <c r="V261" s="995"/>
      <c r="W261" s="995"/>
      <c r="X261" s="979"/>
      <c r="Y261" s="30"/>
      <c r="Z261" s="30"/>
      <c r="AA261" s="30"/>
      <c r="AB261" s="30"/>
      <c r="AC261" s="30"/>
      <c r="AD261" s="30"/>
      <c r="AE261" s="30"/>
      <c r="AF261" s="30"/>
      <c r="AG261" s="30"/>
      <c r="AH261" s="30"/>
      <c r="AI261" s="30"/>
      <c r="AJ261" s="30"/>
      <c r="AK261" s="30"/>
      <c r="AL261" s="30"/>
      <c r="AM261" s="30"/>
      <c r="AN261" s="30"/>
      <c r="AO261" s="30"/>
      <c r="AP261" s="30"/>
      <c r="AQ261" s="30"/>
      <c r="AR261" s="30"/>
      <c r="AS261" s="30"/>
      <c r="AT261" s="30"/>
      <c r="AU261" s="30"/>
      <c r="AV261" s="30"/>
      <c r="AW261" s="30"/>
      <c r="AX261" s="30"/>
      <c r="AY261" s="30"/>
      <c r="AZ261" s="30"/>
      <c r="BA261" s="32"/>
      <c r="BB261" s="29"/>
      <c r="BC261" s="29"/>
      <c r="BD261" s="29"/>
      <c r="BE261" s="29"/>
      <c r="BF261" s="29"/>
    </row>
    <row r="262" spans="1:58" s="33" customFormat="1">
      <c r="B262" s="621">
        <v>29</v>
      </c>
      <c r="C262" s="605" t="s">
        <v>34</v>
      </c>
      <c r="D262" s="886" t="s">
        <v>694</v>
      </c>
      <c r="E262" s="973">
        <f t="shared" si="24"/>
        <v>179900</v>
      </c>
      <c r="F262" s="973">
        <f t="shared" si="25"/>
        <v>0</v>
      </c>
      <c r="G262" s="995">
        <v>0</v>
      </c>
      <c r="H262" s="984"/>
      <c r="I262" s="984"/>
      <c r="J262" s="984"/>
      <c r="K262" s="984"/>
      <c r="L262" s="973">
        <f t="shared" si="26"/>
        <v>179900</v>
      </c>
      <c r="M262" s="983">
        <v>100000</v>
      </c>
      <c r="N262" s="995">
        <v>34000</v>
      </c>
      <c r="O262" s="985"/>
      <c r="P262" s="995"/>
      <c r="Q262" s="985">
        <v>0</v>
      </c>
      <c r="R262" s="995"/>
      <c r="S262" s="985"/>
      <c r="T262" s="983">
        <v>45900</v>
      </c>
      <c r="U262" s="983"/>
      <c r="V262" s="995"/>
      <c r="W262" s="995"/>
      <c r="X262" s="979"/>
      <c r="Y262" s="30"/>
      <c r="Z262" s="30"/>
      <c r="AA262" s="30"/>
      <c r="AB262" s="30"/>
      <c r="AC262" s="30"/>
      <c r="AD262" s="30"/>
      <c r="AE262" s="30"/>
      <c r="AF262" s="30"/>
      <c r="AG262" s="30"/>
      <c r="AH262" s="30"/>
      <c r="AI262" s="30"/>
      <c r="AJ262" s="30"/>
      <c r="AK262" s="30"/>
      <c r="AL262" s="30"/>
      <c r="AM262" s="30"/>
      <c r="AN262" s="30"/>
      <c r="AO262" s="30"/>
      <c r="AP262" s="30"/>
      <c r="AQ262" s="30"/>
      <c r="AR262" s="30"/>
      <c r="AS262" s="30"/>
      <c r="AT262" s="30"/>
      <c r="AU262" s="30"/>
      <c r="AV262" s="30"/>
      <c r="AW262" s="30"/>
      <c r="AX262" s="30"/>
      <c r="AY262" s="30"/>
      <c r="AZ262" s="30"/>
      <c r="BA262" s="32"/>
      <c r="BB262" s="29"/>
      <c r="BC262" s="29"/>
      <c r="BD262" s="29"/>
      <c r="BE262" s="29"/>
      <c r="BF262" s="29"/>
    </row>
    <row r="263" spans="1:58" s="33" customFormat="1" ht="36">
      <c r="B263" s="621">
        <v>30</v>
      </c>
      <c r="C263" s="605" t="s">
        <v>34</v>
      </c>
      <c r="D263" s="819" t="s">
        <v>473</v>
      </c>
      <c r="E263" s="973">
        <f t="shared" si="24"/>
        <v>19200</v>
      </c>
      <c r="F263" s="973">
        <f t="shared" si="25"/>
        <v>0</v>
      </c>
      <c r="G263" s="995">
        <v>0</v>
      </c>
      <c r="H263" s="984"/>
      <c r="I263" s="984"/>
      <c r="J263" s="984"/>
      <c r="K263" s="984"/>
      <c r="L263" s="973">
        <f t="shared" si="26"/>
        <v>19200</v>
      </c>
      <c r="M263" s="983"/>
      <c r="N263" s="995"/>
      <c r="O263" s="985"/>
      <c r="P263" s="995"/>
      <c r="Q263" s="985"/>
      <c r="R263" s="995">
        <v>19200</v>
      </c>
      <c r="S263" s="985"/>
      <c r="T263" s="983"/>
      <c r="U263" s="983"/>
      <c r="V263" s="995"/>
      <c r="W263" s="995"/>
      <c r="X263" s="979"/>
      <c r="Y263" s="30"/>
      <c r="Z263" s="30"/>
      <c r="AA263" s="30"/>
      <c r="AB263" s="30"/>
      <c r="AC263" s="30"/>
      <c r="AD263" s="30"/>
      <c r="AE263" s="30"/>
      <c r="AF263" s="30"/>
      <c r="AG263" s="30"/>
      <c r="AH263" s="30"/>
      <c r="AI263" s="30"/>
      <c r="AJ263" s="30"/>
      <c r="AK263" s="30"/>
      <c r="AL263" s="30"/>
      <c r="AM263" s="30"/>
      <c r="AN263" s="30"/>
      <c r="AO263" s="30"/>
      <c r="AP263" s="30"/>
      <c r="AQ263" s="30"/>
      <c r="AR263" s="30"/>
      <c r="AS263" s="30"/>
      <c r="AT263" s="30"/>
      <c r="AU263" s="30"/>
      <c r="AV263" s="30"/>
      <c r="AW263" s="30"/>
      <c r="AX263" s="30"/>
      <c r="AY263" s="30"/>
      <c r="AZ263" s="30"/>
      <c r="BA263" s="32"/>
      <c r="BB263" s="29"/>
      <c r="BC263" s="29"/>
      <c r="BD263" s="29"/>
      <c r="BE263" s="29"/>
      <c r="BF263" s="29"/>
    </row>
    <row r="264" spans="1:58" s="9" customFormat="1">
      <c r="A264" s="9">
        <v>6</v>
      </c>
      <c r="B264" s="622">
        <v>6</v>
      </c>
      <c r="C264" s="622" t="s">
        <v>572</v>
      </c>
      <c r="D264" s="887" t="s">
        <v>559</v>
      </c>
      <c r="E264" s="990">
        <f t="shared" ref="E264:E324" si="30">F264+L264</f>
        <v>16348264</v>
      </c>
      <c r="F264" s="990">
        <f t="shared" ref="F264:F324" si="31">SUM(G264:K264)</f>
        <v>6409702</v>
      </c>
      <c r="G264" s="974">
        <f>SUM(G265:G313)</f>
        <v>0</v>
      </c>
      <c r="H264" s="975">
        <f>SUM(H265:H313)</f>
        <v>0</v>
      </c>
      <c r="I264" s="975">
        <f>SUM(I265:I313)</f>
        <v>6409702</v>
      </c>
      <c r="J264" s="975">
        <f>SUM(J265:J313)</f>
        <v>0</v>
      </c>
      <c r="K264" s="975">
        <f>SUM(K265:K313)</f>
        <v>0</v>
      </c>
      <c r="L264" s="990">
        <f t="shared" ref="L264:L324" si="32">SUM(M264:X264)</f>
        <v>9938562</v>
      </c>
      <c r="M264" s="974">
        <f t="shared" ref="M264:X264" si="33">SUM(M265:M313)</f>
        <v>965276</v>
      </c>
      <c r="N264" s="974">
        <f t="shared" si="33"/>
        <v>332975</v>
      </c>
      <c r="O264" s="974">
        <f t="shared" si="33"/>
        <v>793760</v>
      </c>
      <c r="P264" s="974">
        <f t="shared" si="33"/>
        <v>1372854</v>
      </c>
      <c r="Q264" s="974">
        <f t="shared" si="33"/>
        <v>1094236</v>
      </c>
      <c r="R264" s="974">
        <f t="shared" si="33"/>
        <v>714553</v>
      </c>
      <c r="S264" s="974">
        <f t="shared" si="33"/>
        <v>1354521</v>
      </c>
      <c r="T264" s="974">
        <f t="shared" si="33"/>
        <v>855806</v>
      </c>
      <c r="U264" s="974">
        <f t="shared" si="33"/>
        <v>947364</v>
      </c>
      <c r="V264" s="974">
        <f t="shared" si="33"/>
        <v>441444</v>
      </c>
      <c r="W264" s="974">
        <f t="shared" si="33"/>
        <v>588399</v>
      </c>
      <c r="X264" s="974">
        <f t="shared" si="33"/>
        <v>477374</v>
      </c>
    </row>
    <row r="265" spans="1:58" s="16" customFormat="1" ht="36">
      <c r="A265" s="16" t="s">
        <v>806</v>
      </c>
      <c r="B265" s="623" t="s">
        <v>249</v>
      </c>
      <c r="C265" s="624" t="s">
        <v>572</v>
      </c>
      <c r="D265" s="888" t="s">
        <v>560</v>
      </c>
      <c r="E265" s="1010">
        <f t="shared" si="30"/>
        <v>0</v>
      </c>
      <c r="F265" s="1010">
        <f t="shared" si="31"/>
        <v>0</v>
      </c>
      <c r="G265" s="988"/>
      <c r="H265" s="991"/>
      <c r="I265" s="1021"/>
      <c r="J265" s="1021"/>
      <c r="K265" s="1021"/>
      <c r="L265" s="1010">
        <f t="shared" si="32"/>
        <v>0</v>
      </c>
      <c r="M265" s="1022"/>
      <c r="N265" s="1022"/>
      <c r="O265" s="1022"/>
      <c r="P265" s="1022"/>
      <c r="Q265" s="1022"/>
      <c r="R265" s="1022"/>
      <c r="S265" s="1022"/>
      <c r="T265" s="1022"/>
      <c r="U265" s="1022"/>
      <c r="V265" s="1022"/>
      <c r="W265" s="1022"/>
      <c r="X265" s="1022"/>
    </row>
    <row r="266" spans="1:58" s="16" customFormat="1" ht="36">
      <c r="B266" s="625">
        <v>1</v>
      </c>
      <c r="C266" s="624" t="s">
        <v>572</v>
      </c>
      <c r="D266" s="889" t="s">
        <v>148</v>
      </c>
      <c r="E266" s="1010">
        <f t="shared" si="30"/>
        <v>0</v>
      </c>
      <c r="F266" s="1010">
        <f t="shared" si="31"/>
        <v>0</v>
      </c>
      <c r="G266" s="988"/>
      <c r="H266" s="991"/>
      <c r="I266" s="1023"/>
      <c r="J266" s="1023"/>
      <c r="K266" s="1023"/>
      <c r="L266" s="1010">
        <f t="shared" si="32"/>
        <v>0</v>
      </c>
      <c r="M266" s="1024"/>
      <c r="N266" s="1024"/>
      <c r="O266" s="1024"/>
      <c r="P266" s="1024"/>
      <c r="Q266" s="1024"/>
      <c r="R266" s="1024"/>
      <c r="S266" s="1024"/>
      <c r="T266" s="1024"/>
      <c r="U266" s="1024"/>
      <c r="V266" s="1024"/>
      <c r="W266" s="1024"/>
      <c r="X266" s="1024"/>
    </row>
    <row r="267" spans="1:58" s="45" customFormat="1" ht="24">
      <c r="B267" s="626" t="s">
        <v>147</v>
      </c>
      <c r="C267" s="627" t="s">
        <v>572</v>
      </c>
      <c r="D267" s="890" t="s">
        <v>149</v>
      </c>
      <c r="E267" s="1005">
        <f t="shared" si="30"/>
        <v>4478400</v>
      </c>
      <c r="F267" s="1005">
        <f t="shared" si="31"/>
        <v>0</v>
      </c>
      <c r="G267" s="979"/>
      <c r="H267" s="980"/>
      <c r="I267" s="980"/>
      <c r="J267" s="980"/>
      <c r="K267" s="980"/>
      <c r="L267" s="1005">
        <f t="shared" si="32"/>
        <v>4478400</v>
      </c>
      <c r="M267" s="981">
        <v>540000</v>
      </c>
      <c r="N267" s="981">
        <v>68400</v>
      </c>
      <c r="O267" s="981">
        <f>318600+2400</f>
        <v>321000</v>
      </c>
      <c r="P267" s="981">
        <v>597600</v>
      </c>
      <c r="Q267" s="981">
        <v>531000</v>
      </c>
      <c r="R267" s="981">
        <v>197400</v>
      </c>
      <c r="S267" s="981">
        <v>621000</v>
      </c>
      <c r="T267" s="981">
        <v>509400</v>
      </c>
      <c r="U267" s="981">
        <v>495000</v>
      </c>
      <c r="V267" s="981">
        <v>169200</v>
      </c>
      <c r="W267" s="981">
        <v>223200</v>
      </c>
      <c r="X267" s="981">
        <v>205200</v>
      </c>
    </row>
    <row r="268" spans="1:58" s="45" customFormat="1" ht="24">
      <c r="B268" s="626" t="s">
        <v>150</v>
      </c>
      <c r="C268" s="627" t="s">
        <v>572</v>
      </c>
      <c r="D268" s="891" t="s">
        <v>151</v>
      </c>
      <c r="E268" s="1005">
        <f t="shared" si="30"/>
        <v>1148065</v>
      </c>
      <c r="F268" s="1005">
        <f t="shared" si="31"/>
        <v>0</v>
      </c>
      <c r="G268" s="979"/>
      <c r="H268" s="980"/>
      <c r="I268" s="980"/>
      <c r="J268" s="980"/>
      <c r="K268" s="980"/>
      <c r="L268" s="1005">
        <f t="shared" si="32"/>
        <v>1148065</v>
      </c>
      <c r="M268" s="981">
        <f>7330+1036</f>
        <v>8366</v>
      </c>
      <c r="N268" s="981">
        <v>58600</v>
      </c>
      <c r="O268" s="981">
        <v>80000</v>
      </c>
      <c r="P268" s="981">
        <v>162534</v>
      </c>
      <c r="Q268" s="981">
        <v>120000</v>
      </c>
      <c r="R268" s="981">
        <v>172323</v>
      </c>
      <c r="S268" s="981">
        <v>207571</v>
      </c>
      <c r="T268" s="981">
        <v>58746</v>
      </c>
      <c r="U268" s="981">
        <v>74644</v>
      </c>
      <c r="V268" s="981">
        <v>50914</v>
      </c>
      <c r="W268" s="981">
        <v>103453</v>
      </c>
      <c r="X268" s="981">
        <v>50914</v>
      </c>
    </row>
    <row r="269" spans="1:58" s="45" customFormat="1">
      <c r="B269" s="626" t="s">
        <v>289</v>
      </c>
      <c r="C269" s="627" t="s">
        <v>572</v>
      </c>
      <c r="D269" s="891" t="s">
        <v>297</v>
      </c>
      <c r="E269" s="1005">
        <f t="shared" si="30"/>
        <v>0</v>
      </c>
      <c r="F269" s="1005">
        <f t="shared" si="31"/>
        <v>0</v>
      </c>
      <c r="G269" s="979"/>
      <c r="H269" s="980"/>
      <c r="I269" s="980"/>
      <c r="J269" s="980"/>
      <c r="K269" s="980"/>
      <c r="L269" s="1005">
        <f t="shared" si="32"/>
        <v>0</v>
      </c>
      <c r="M269" s="981"/>
      <c r="N269" s="981"/>
      <c r="O269" s="981"/>
      <c r="P269" s="981"/>
      <c r="Q269" s="1019"/>
      <c r="R269" s="981"/>
      <c r="S269" s="981"/>
      <c r="T269" s="981">
        <v>0</v>
      </c>
      <c r="U269" s="981"/>
      <c r="V269" s="981"/>
      <c r="W269" s="981"/>
      <c r="X269" s="981"/>
    </row>
    <row r="270" spans="1:58" s="45" customFormat="1" ht="24">
      <c r="B270" s="626" t="s">
        <v>152</v>
      </c>
      <c r="C270" s="627" t="s">
        <v>572</v>
      </c>
      <c r="D270" s="891" t="s">
        <v>272</v>
      </c>
      <c r="E270" s="1005">
        <f t="shared" si="30"/>
        <v>293727</v>
      </c>
      <c r="F270" s="1005">
        <f t="shared" si="31"/>
        <v>0</v>
      </c>
      <c r="G270" s="979"/>
      <c r="H270" s="980"/>
      <c r="I270" s="980"/>
      <c r="J270" s="980"/>
      <c r="K270" s="980"/>
      <c r="L270" s="1005">
        <f t="shared" si="32"/>
        <v>293727</v>
      </c>
      <c r="M270" s="981">
        <f>9000+2100+7100</f>
        <v>18200</v>
      </c>
      <c r="N270" s="981">
        <v>3207</v>
      </c>
      <c r="O270" s="981">
        <f>14000+12600+20000</f>
        <v>46600</v>
      </c>
      <c r="P270" s="981">
        <v>70500</v>
      </c>
      <c r="Q270" s="981">
        <v>25000</v>
      </c>
      <c r="R270" s="981">
        <v>10080</v>
      </c>
      <c r="S270" s="981">
        <v>21000</v>
      </c>
      <c r="T270" s="981">
        <v>13860</v>
      </c>
      <c r="U270" s="981">
        <v>27820</v>
      </c>
      <c r="V270" s="981">
        <v>11340</v>
      </c>
      <c r="W270" s="981">
        <f>16100+7080+11000+600</f>
        <v>34780</v>
      </c>
      <c r="X270" s="981">
        <v>11340</v>
      </c>
    </row>
    <row r="271" spans="1:58" s="45" customFormat="1" ht="36">
      <c r="B271" s="626" t="s">
        <v>154</v>
      </c>
      <c r="C271" s="627" t="s">
        <v>572</v>
      </c>
      <c r="D271" s="891" t="s">
        <v>153</v>
      </c>
      <c r="E271" s="1005">
        <f t="shared" si="30"/>
        <v>72400</v>
      </c>
      <c r="F271" s="1005">
        <f t="shared" si="31"/>
        <v>47000</v>
      </c>
      <c r="G271" s="979"/>
      <c r="H271" s="980"/>
      <c r="I271" s="980">
        <v>47000</v>
      </c>
      <c r="J271" s="980"/>
      <c r="K271" s="980"/>
      <c r="L271" s="1005">
        <f t="shared" si="32"/>
        <v>25400</v>
      </c>
      <c r="M271" s="981">
        <v>2000</v>
      </c>
      <c r="N271" s="981">
        <v>2000</v>
      </c>
      <c r="O271" s="981">
        <v>2000</v>
      </c>
      <c r="P271" s="981">
        <v>2000</v>
      </c>
      <c r="Q271" s="981">
        <v>2000</v>
      </c>
      <c r="R271" s="981">
        <v>2000</v>
      </c>
      <c r="S271" s="981">
        <v>2000</v>
      </c>
      <c r="T271" s="981">
        <v>2000</v>
      </c>
      <c r="U271" s="981">
        <v>2000</v>
      </c>
      <c r="V271" s="981">
        <v>2000</v>
      </c>
      <c r="W271" s="981">
        <v>3400</v>
      </c>
      <c r="X271" s="981">
        <v>2000</v>
      </c>
    </row>
    <row r="272" spans="1:58" s="45" customFormat="1" ht="36">
      <c r="B272" s="626" t="s">
        <v>155</v>
      </c>
      <c r="C272" s="627" t="s">
        <v>572</v>
      </c>
      <c r="D272" s="891" t="s">
        <v>273</v>
      </c>
      <c r="E272" s="1005">
        <f t="shared" si="30"/>
        <v>1197017</v>
      </c>
      <c r="F272" s="1005">
        <f t="shared" si="31"/>
        <v>1055500</v>
      </c>
      <c r="G272" s="979"/>
      <c r="H272" s="980"/>
      <c r="I272" s="980">
        <v>1055500</v>
      </c>
      <c r="J272" s="980"/>
      <c r="K272" s="980"/>
      <c r="L272" s="1005">
        <f t="shared" si="32"/>
        <v>141517</v>
      </c>
      <c r="M272" s="981">
        <v>26000</v>
      </c>
      <c r="N272" s="981">
        <v>7817</v>
      </c>
      <c r="O272" s="981">
        <v>3000</v>
      </c>
      <c r="P272" s="981">
        <v>13000</v>
      </c>
      <c r="Q272" s="981">
        <v>14000</v>
      </c>
      <c r="R272" s="981">
        <v>7000</v>
      </c>
      <c r="S272" s="981">
        <v>17000</v>
      </c>
      <c r="T272" s="981">
        <v>9800</v>
      </c>
      <c r="U272" s="981">
        <v>18000</v>
      </c>
      <c r="V272" s="981">
        <v>8100</v>
      </c>
      <c r="W272" s="981">
        <f>3700+6000</f>
        <v>9700</v>
      </c>
      <c r="X272" s="981">
        <v>8100</v>
      </c>
    </row>
    <row r="273" spans="1:24" s="45" customFormat="1" ht="36">
      <c r="B273" s="626" t="s">
        <v>157</v>
      </c>
      <c r="C273" s="627" t="s">
        <v>572</v>
      </c>
      <c r="D273" s="891" t="s">
        <v>158</v>
      </c>
      <c r="E273" s="1005">
        <f t="shared" si="30"/>
        <v>53060</v>
      </c>
      <c r="F273" s="1005">
        <f t="shared" si="31"/>
        <v>53060</v>
      </c>
      <c r="G273" s="979"/>
      <c r="H273" s="980"/>
      <c r="I273" s="980">
        <v>53060</v>
      </c>
      <c r="J273" s="980"/>
      <c r="K273" s="980"/>
      <c r="L273" s="1005">
        <f t="shared" si="32"/>
        <v>0</v>
      </c>
      <c r="M273" s="981"/>
      <c r="N273" s="981"/>
      <c r="O273" s="981"/>
      <c r="P273" s="981"/>
      <c r="Q273" s="981"/>
      <c r="R273" s="981"/>
      <c r="S273" s="981"/>
      <c r="T273" s="981">
        <v>0</v>
      </c>
      <c r="U273" s="992"/>
      <c r="V273" s="981"/>
      <c r="W273" s="981"/>
      <c r="X273" s="981"/>
    </row>
    <row r="274" spans="1:24" s="45" customFormat="1" ht="48">
      <c r="B274" s="626" t="s">
        <v>159</v>
      </c>
      <c r="C274" s="627" t="s">
        <v>572</v>
      </c>
      <c r="D274" s="891" t="s">
        <v>160</v>
      </c>
      <c r="E274" s="1005">
        <f t="shared" si="30"/>
        <v>37040</v>
      </c>
      <c r="F274" s="1005">
        <f t="shared" si="31"/>
        <v>37040</v>
      </c>
      <c r="G274" s="979"/>
      <c r="H274" s="980"/>
      <c r="I274" s="980">
        <v>37040</v>
      </c>
      <c r="J274" s="980"/>
      <c r="K274" s="980"/>
      <c r="L274" s="1005">
        <f t="shared" si="32"/>
        <v>0</v>
      </c>
      <c r="M274" s="981"/>
      <c r="N274" s="981"/>
      <c r="O274" s="981"/>
      <c r="P274" s="981"/>
      <c r="Q274" s="981"/>
      <c r="R274" s="981"/>
      <c r="S274" s="981"/>
      <c r="T274" s="981">
        <v>0</v>
      </c>
      <c r="U274" s="992"/>
      <c r="V274" s="981"/>
      <c r="W274" s="981"/>
      <c r="X274" s="981"/>
    </row>
    <row r="275" spans="1:24" s="45" customFormat="1" ht="24">
      <c r="B275" s="626" t="s">
        <v>161</v>
      </c>
      <c r="C275" s="627" t="s">
        <v>572</v>
      </c>
      <c r="D275" s="892" t="s">
        <v>162</v>
      </c>
      <c r="E275" s="1005">
        <f t="shared" si="30"/>
        <v>424988</v>
      </c>
      <c r="F275" s="1005">
        <f t="shared" si="31"/>
        <v>328552</v>
      </c>
      <c r="G275" s="979"/>
      <c r="H275" s="980"/>
      <c r="I275" s="980">
        <v>328552</v>
      </c>
      <c r="J275" s="980"/>
      <c r="K275" s="980"/>
      <c r="L275" s="1005">
        <f t="shared" si="32"/>
        <v>96436</v>
      </c>
      <c r="M275" s="981">
        <v>19500</v>
      </c>
      <c r="N275" s="981">
        <v>12036</v>
      </c>
      <c r="O275" s="981">
        <v>20000</v>
      </c>
      <c r="P275" s="981">
        <v>21850</v>
      </c>
      <c r="Q275" s="981">
        <v>20000</v>
      </c>
      <c r="R275" s="981">
        <v>3050</v>
      </c>
      <c r="S275" s="981"/>
      <c r="T275" s="981">
        <v>0</v>
      </c>
      <c r="U275" s="979"/>
      <c r="V275" s="981"/>
      <c r="W275" s="981"/>
      <c r="X275" s="981"/>
    </row>
    <row r="276" spans="1:24" s="16" customFormat="1" ht="60">
      <c r="B276" s="626" t="s">
        <v>298</v>
      </c>
      <c r="C276" s="627" t="s">
        <v>572</v>
      </c>
      <c r="D276" s="893" t="s">
        <v>156</v>
      </c>
      <c r="E276" s="1005">
        <f t="shared" si="30"/>
        <v>140000</v>
      </c>
      <c r="F276" s="1005">
        <f t="shared" si="31"/>
        <v>0</v>
      </c>
      <c r="G276" s="979"/>
      <c r="H276" s="980"/>
      <c r="I276" s="980"/>
      <c r="J276" s="980"/>
      <c r="K276" s="980"/>
      <c r="L276" s="1005">
        <f t="shared" si="32"/>
        <v>140000</v>
      </c>
      <c r="M276" s="1025"/>
      <c r="N276" s="1025">
        <v>10000</v>
      </c>
      <c r="O276" s="1025">
        <v>30000</v>
      </c>
      <c r="P276" s="1025">
        <v>20000</v>
      </c>
      <c r="Q276" s="1025">
        <v>30000</v>
      </c>
      <c r="R276" s="1025">
        <v>30000</v>
      </c>
      <c r="S276" s="1025">
        <v>20000</v>
      </c>
      <c r="T276" s="1025">
        <v>0</v>
      </c>
      <c r="U276" s="1025"/>
      <c r="V276" s="1025"/>
      <c r="W276" s="1025"/>
      <c r="X276" s="1025"/>
    </row>
    <row r="277" spans="1:24" s="16" customFormat="1">
      <c r="B277" s="628"/>
      <c r="C277" s="627" t="s">
        <v>572</v>
      </c>
      <c r="D277" s="817" t="s">
        <v>292</v>
      </c>
      <c r="E277" s="1005">
        <f t="shared" si="30"/>
        <v>720000</v>
      </c>
      <c r="F277" s="1005">
        <f t="shared" si="31"/>
        <v>64000</v>
      </c>
      <c r="G277" s="979"/>
      <c r="H277" s="980"/>
      <c r="I277" s="980">
        <v>64000</v>
      </c>
      <c r="J277" s="980"/>
      <c r="K277" s="980"/>
      <c r="L277" s="1005">
        <f t="shared" si="32"/>
        <v>656000</v>
      </c>
      <c r="M277" s="992">
        <v>32000</v>
      </c>
      <c r="N277" s="992">
        <v>24000</v>
      </c>
      <c r="O277" s="992">
        <v>48000</v>
      </c>
      <c r="P277" s="992">
        <v>60000</v>
      </c>
      <c r="Q277" s="983">
        <v>68800</v>
      </c>
      <c r="R277" s="983">
        <v>72000</v>
      </c>
      <c r="S277" s="992">
        <v>92000</v>
      </c>
      <c r="T277" s="983">
        <v>48000</v>
      </c>
      <c r="U277" s="992">
        <v>88000</v>
      </c>
      <c r="V277" s="983">
        <v>40000</v>
      </c>
      <c r="W277" s="992">
        <v>43200</v>
      </c>
      <c r="X277" s="983">
        <v>40000</v>
      </c>
    </row>
    <row r="278" spans="1:24" s="16" customFormat="1">
      <c r="B278" s="628"/>
      <c r="C278" s="627" t="s">
        <v>572</v>
      </c>
      <c r="D278" s="817" t="s">
        <v>291</v>
      </c>
      <c r="E278" s="1005">
        <f t="shared" si="30"/>
        <v>1280000</v>
      </c>
      <c r="F278" s="1005">
        <f t="shared" si="31"/>
        <v>60300</v>
      </c>
      <c r="G278" s="979"/>
      <c r="H278" s="980"/>
      <c r="I278" s="980">
        <v>60300</v>
      </c>
      <c r="J278" s="980"/>
      <c r="K278" s="980"/>
      <c r="L278" s="1005">
        <f t="shared" si="32"/>
        <v>1219700</v>
      </c>
      <c r="M278" s="992">
        <v>77550</v>
      </c>
      <c r="N278" s="992">
        <v>78400</v>
      </c>
      <c r="O278" s="992">
        <v>108900</v>
      </c>
      <c r="P278" s="992">
        <v>149200</v>
      </c>
      <c r="Q278" s="983">
        <v>126800</v>
      </c>
      <c r="R278" s="983">
        <v>121600</v>
      </c>
      <c r="S278" s="992">
        <v>174500</v>
      </c>
      <c r="T278" s="983">
        <v>82000</v>
      </c>
      <c r="U278" s="992">
        <v>134800</v>
      </c>
      <c r="V278" s="983">
        <v>53500</v>
      </c>
      <c r="W278" s="992">
        <v>59950</v>
      </c>
      <c r="X278" s="983">
        <v>52500</v>
      </c>
    </row>
    <row r="279" spans="1:24" s="18" customFormat="1" ht="24">
      <c r="B279" s="629" t="s">
        <v>564</v>
      </c>
      <c r="C279" s="622" t="s">
        <v>572</v>
      </c>
      <c r="D279" s="894" t="s">
        <v>173</v>
      </c>
      <c r="E279" s="973">
        <f t="shared" si="30"/>
        <v>0</v>
      </c>
      <c r="F279" s="973">
        <f t="shared" si="31"/>
        <v>0</v>
      </c>
      <c r="G279" s="1026"/>
      <c r="H279" s="1027"/>
      <c r="I279" s="1027"/>
      <c r="J279" s="1027"/>
      <c r="K279" s="1027"/>
      <c r="L279" s="973">
        <f t="shared" si="32"/>
        <v>0</v>
      </c>
      <c r="M279" s="1028"/>
      <c r="N279" s="1028"/>
      <c r="O279" s="1028"/>
      <c r="P279" s="1028"/>
      <c r="Q279" s="1028"/>
      <c r="R279" s="1028"/>
      <c r="S279" s="1028"/>
      <c r="T279" s="1028"/>
      <c r="U279" s="1028"/>
      <c r="V279" s="1028"/>
      <c r="W279" s="1028"/>
      <c r="X279" s="1028"/>
    </row>
    <row r="280" spans="1:24" s="16" customFormat="1" ht="36">
      <c r="B280" s="630" t="s">
        <v>166</v>
      </c>
      <c r="C280" s="627" t="s">
        <v>572</v>
      </c>
      <c r="D280" s="895" t="s">
        <v>696</v>
      </c>
      <c r="E280" s="1005">
        <f t="shared" si="30"/>
        <v>350075</v>
      </c>
      <c r="F280" s="1005">
        <f t="shared" si="31"/>
        <v>0</v>
      </c>
      <c r="G280" s="979"/>
      <c r="H280" s="980"/>
      <c r="I280" s="980"/>
      <c r="J280" s="980"/>
      <c r="K280" s="980"/>
      <c r="L280" s="1005">
        <f t="shared" si="32"/>
        <v>350075</v>
      </c>
      <c r="M280" s="981">
        <f>14400+8640</f>
        <v>23040</v>
      </c>
      <c r="N280" s="981">
        <v>20935</v>
      </c>
      <c r="O280" s="981">
        <v>13500</v>
      </c>
      <c r="P280" s="979">
        <v>47500</v>
      </c>
      <c r="Q280" s="981">
        <f>12800+16000</f>
        <v>28800</v>
      </c>
      <c r="R280" s="981">
        <v>25800</v>
      </c>
      <c r="S280" s="981">
        <v>59900</v>
      </c>
      <c r="T280" s="981">
        <v>34100</v>
      </c>
      <c r="U280" s="981">
        <v>22400</v>
      </c>
      <c r="V280" s="981">
        <v>29000</v>
      </c>
      <c r="W280" s="981">
        <v>16100</v>
      </c>
      <c r="X280" s="981">
        <v>29000</v>
      </c>
    </row>
    <row r="281" spans="1:24" s="8" customFormat="1" ht="36">
      <c r="B281" s="630" t="s">
        <v>172</v>
      </c>
      <c r="C281" s="627" t="s">
        <v>572</v>
      </c>
      <c r="D281" s="895" t="s">
        <v>695</v>
      </c>
      <c r="E281" s="1005"/>
      <c r="F281" s="1005"/>
      <c r="G281" s="979"/>
      <c r="H281" s="980"/>
      <c r="I281" s="980"/>
      <c r="J281" s="980"/>
      <c r="K281" s="980"/>
      <c r="L281" s="1005"/>
      <c r="M281" s="981"/>
      <c r="N281" s="981"/>
      <c r="O281" s="981"/>
      <c r="P281" s="979"/>
      <c r="Q281" s="1002"/>
      <c r="R281" s="981"/>
      <c r="S281" s="981"/>
      <c r="T281" s="981"/>
      <c r="U281" s="981"/>
      <c r="V281" s="981"/>
      <c r="W281" s="981"/>
      <c r="X281" s="981"/>
    </row>
    <row r="282" spans="1:24" s="16" customFormat="1" ht="72">
      <c r="B282" s="630" t="s">
        <v>566</v>
      </c>
      <c r="C282" s="627" t="s">
        <v>572</v>
      </c>
      <c r="D282" s="896" t="s">
        <v>176</v>
      </c>
      <c r="E282" s="1005">
        <f t="shared" si="30"/>
        <v>61200</v>
      </c>
      <c r="F282" s="1005">
        <f t="shared" si="31"/>
        <v>61200</v>
      </c>
      <c r="G282" s="979"/>
      <c r="H282" s="980"/>
      <c r="I282" s="980">
        <v>61200</v>
      </c>
      <c r="J282" s="980"/>
      <c r="K282" s="980"/>
      <c r="L282" s="1005">
        <f t="shared" si="32"/>
        <v>0</v>
      </c>
      <c r="M282" s="981"/>
      <c r="N282" s="981"/>
      <c r="O282" s="981"/>
      <c r="P282" s="981"/>
      <c r="Q282" s="1002"/>
      <c r="R282" s="981"/>
      <c r="S282" s="981"/>
      <c r="T282" s="981">
        <v>0</v>
      </c>
      <c r="U282" s="992"/>
      <c r="V282" s="981"/>
      <c r="W282" s="981"/>
      <c r="X282" s="981"/>
    </row>
    <row r="283" spans="1:24" s="46" customFormat="1" ht="24">
      <c r="B283" s="630" t="s">
        <v>567</v>
      </c>
      <c r="C283" s="627" t="s">
        <v>572</v>
      </c>
      <c r="D283" s="896" t="s">
        <v>177</v>
      </c>
      <c r="E283" s="1005">
        <f t="shared" si="30"/>
        <v>11000</v>
      </c>
      <c r="F283" s="1005">
        <f t="shared" si="31"/>
        <v>11000</v>
      </c>
      <c r="G283" s="979"/>
      <c r="H283" s="980"/>
      <c r="I283" s="980">
        <v>11000</v>
      </c>
      <c r="J283" s="980"/>
      <c r="K283" s="980"/>
      <c r="L283" s="1005">
        <f t="shared" si="32"/>
        <v>0</v>
      </c>
      <c r="M283" s="981"/>
      <c r="N283" s="981"/>
      <c r="O283" s="981"/>
      <c r="P283" s="979"/>
      <c r="Q283" s="1002"/>
      <c r="R283" s="981"/>
      <c r="S283" s="981"/>
      <c r="T283" s="981">
        <v>0</v>
      </c>
      <c r="U283" s="992"/>
      <c r="V283" s="981"/>
      <c r="W283" s="981"/>
      <c r="X283" s="981"/>
    </row>
    <row r="284" spans="1:24" s="16" customFormat="1" ht="60">
      <c r="B284" s="630" t="s">
        <v>568</v>
      </c>
      <c r="C284" s="627" t="s">
        <v>572</v>
      </c>
      <c r="D284" s="896" t="s">
        <v>178</v>
      </c>
      <c r="E284" s="1005">
        <f t="shared" si="30"/>
        <v>150000</v>
      </c>
      <c r="F284" s="1005">
        <f t="shared" si="31"/>
        <v>150000</v>
      </c>
      <c r="G284" s="979"/>
      <c r="H284" s="980"/>
      <c r="I284" s="980">
        <v>150000</v>
      </c>
      <c r="J284" s="980"/>
      <c r="K284" s="980"/>
      <c r="L284" s="1005">
        <f t="shared" si="32"/>
        <v>0</v>
      </c>
      <c r="M284" s="981"/>
      <c r="N284" s="981"/>
      <c r="O284" s="981"/>
      <c r="P284" s="979"/>
      <c r="Q284" s="1002"/>
      <c r="R284" s="981"/>
      <c r="S284" s="981"/>
      <c r="T284" s="981">
        <v>0</v>
      </c>
      <c r="U284" s="992"/>
      <c r="V284" s="981"/>
      <c r="W284" s="981"/>
      <c r="X284" s="981"/>
    </row>
    <row r="285" spans="1:24" s="16" customFormat="1" ht="24">
      <c r="B285" s="630" t="s">
        <v>569</v>
      </c>
      <c r="C285" s="627" t="s">
        <v>572</v>
      </c>
      <c r="D285" s="896" t="s">
        <v>179</v>
      </c>
      <c r="E285" s="1005">
        <f t="shared" si="30"/>
        <v>134000</v>
      </c>
      <c r="F285" s="1005">
        <f t="shared" si="31"/>
        <v>120000</v>
      </c>
      <c r="G285" s="979"/>
      <c r="H285" s="980"/>
      <c r="I285" s="980">
        <v>120000</v>
      </c>
      <c r="J285" s="980"/>
      <c r="K285" s="980"/>
      <c r="L285" s="1005">
        <f t="shared" si="32"/>
        <v>14000</v>
      </c>
      <c r="M285" s="981">
        <v>4000</v>
      </c>
      <c r="N285" s="981"/>
      <c r="O285" s="981"/>
      <c r="P285" s="979"/>
      <c r="Q285" s="981">
        <v>10000</v>
      </c>
      <c r="R285" s="981"/>
      <c r="S285" s="981"/>
      <c r="T285" s="981">
        <v>0</v>
      </c>
      <c r="U285" s="992"/>
      <c r="V285" s="981"/>
      <c r="W285" s="981"/>
      <c r="X285" s="981"/>
    </row>
    <row r="286" spans="1:24" s="16" customFormat="1" ht="72">
      <c r="B286" s="630" t="s">
        <v>570</v>
      </c>
      <c r="C286" s="627" t="s">
        <v>572</v>
      </c>
      <c r="D286" s="895" t="s">
        <v>697</v>
      </c>
      <c r="E286" s="1005">
        <f t="shared" si="30"/>
        <v>45000</v>
      </c>
      <c r="F286" s="1005">
        <f t="shared" si="31"/>
        <v>45000</v>
      </c>
      <c r="G286" s="979"/>
      <c r="H286" s="980"/>
      <c r="I286" s="980">
        <v>45000</v>
      </c>
      <c r="J286" s="980"/>
      <c r="K286" s="980"/>
      <c r="L286" s="1005">
        <f t="shared" si="32"/>
        <v>0</v>
      </c>
      <c r="M286" s="981"/>
      <c r="N286" s="981"/>
      <c r="O286" s="981"/>
      <c r="P286" s="979"/>
      <c r="Q286" s="981"/>
      <c r="R286" s="981"/>
      <c r="S286" s="981"/>
      <c r="T286" s="981">
        <v>0</v>
      </c>
      <c r="U286" s="992"/>
      <c r="V286" s="981"/>
      <c r="W286" s="981"/>
      <c r="X286" s="981"/>
    </row>
    <row r="287" spans="1:24" s="16" customFormat="1" ht="36">
      <c r="B287" s="630" t="s">
        <v>571</v>
      </c>
      <c r="C287" s="627" t="s">
        <v>572</v>
      </c>
      <c r="D287" s="896" t="s">
        <v>181</v>
      </c>
      <c r="E287" s="1005">
        <f t="shared" si="30"/>
        <v>56000</v>
      </c>
      <c r="F287" s="1005">
        <f t="shared" si="31"/>
        <v>31000</v>
      </c>
      <c r="G287" s="979"/>
      <c r="H287" s="980"/>
      <c r="I287" s="980">
        <v>31000</v>
      </c>
      <c r="J287" s="980"/>
      <c r="K287" s="980"/>
      <c r="L287" s="1005">
        <f t="shared" si="32"/>
        <v>25000</v>
      </c>
      <c r="M287" s="981">
        <v>3000</v>
      </c>
      <c r="N287" s="981">
        <v>2000</v>
      </c>
      <c r="O287" s="981">
        <v>2000</v>
      </c>
      <c r="P287" s="979">
        <v>2000</v>
      </c>
      <c r="Q287" s="981">
        <v>2000</v>
      </c>
      <c r="R287" s="981">
        <v>2000</v>
      </c>
      <c r="S287" s="981">
        <v>2000</v>
      </c>
      <c r="T287" s="981">
        <v>2000</v>
      </c>
      <c r="U287" s="981">
        <v>2000</v>
      </c>
      <c r="V287" s="981">
        <v>2000</v>
      </c>
      <c r="W287" s="981">
        <v>2000</v>
      </c>
      <c r="X287" s="981">
        <v>2000</v>
      </c>
    </row>
    <row r="288" spans="1:24" s="17" customFormat="1" ht="24">
      <c r="A288" s="17" t="s">
        <v>807</v>
      </c>
      <c r="B288" s="632" t="s">
        <v>258</v>
      </c>
      <c r="C288" s="622" t="s">
        <v>572</v>
      </c>
      <c r="D288" s="897" t="s">
        <v>561</v>
      </c>
      <c r="E288" s="973">
        <f t="shared" si="30"/>
        <v>0</v>
      </c>
      <c r="F288" s="973">
        <f t="shared" si="31"/>
        <v>0</v>
      </c>
      <c r="G288" s="1026"/>
      <c r="H288" s="1027"/>
      <c r="I288" s="1029"/>
      <c r="J288" s="1029"/>
      <c r="K288" s="1029"/>
      <c r="L288" s="973">
        <f t="shared" si="32"/>
        <v>0</v>
      </c>
      <c r="M288" s="1030"/>
      <c r="N288" s="1030"/>
      <c r="O288" s="1030"/>
      <c r="P288" s="1030"/>
      <c r="Q288" s="1030"/>
      <c r="R288" s="1030"/>
      <c r="S288" s="1030"/>
      <c r="T288" s="1030"/>
      <c r="U288" s="1030"/>
      <c r="V288" s="1030"/>
      <c r="W288" s="1030"/>
      <c r="X288" s="1030"/>
    </row>
    <row r="289" spans="1:24" s="19" customFormat="1" ht="24">
      <c r="B289" s="679">
        <v>1</v>
      </c>
      <c r="C289" s="622" t="s">
        <v>572</v>
      </c>
      <c r="D289" s="894" t="s">
        <v>163</v>
      </c>
      <c r="E289" s="973">
        <f t="shared" si="30"/>
        <v>0</v>
      </c>
      <c r="F289" s="973">
        <f t="shared" si="31"/>
        <v>0</v>
      </c>
      <c r="G289" s="1026"/>
      <c r="H289" s="1027"/>
      <c r="I289" s="1027"/>
      <c r="J289" s="1027"/>
      <c r="K289" s="1027"/>
      <c r="L289" s="973">
        <f t="shared" si="32"/>
        <v>0</v>
      </c>
      <c r="M289" s="1028"/>
      <c r="N289" s="1028"/>
      <c r="O289" s="1028"/>
      <c r="P289" s="1028"/>
      <c r="Q289" s="1028"/>
      <c r="R289" s="1028"/>
      <c r="S289" s="1028"/>
      <c r="T289" s="1028"/>
      <c r="U289" s="1028"/>
      <c r="V289" s="1028"/>
      <c r="W289" s="1028"/>
      <c r="X289" s="1028"/>
    </row>
    <row r="290" spans="1:24" s="16" customFormat="1" ht="60">
      <c r="B290" s="630" t="s">
        <v>147</v>
      </c>
      <c r="C290" s="627" t="s">
        <v>572</v>
      </c>
      <c r="D290" s="895" t="s">
        <v>698</v>
      </c>
      <c r="E290" s="1005">
        <f t="shared" si="30"/>
        <v>221640</v>
      </c>
      <c r="F290" s="1005">
        <f t="shared" si="31"/>
        <v>0</v>
      </c>
      <c r="G290" s="979"/>
      <c r="H290" s="980"/>
      <c r="I290" s="980"/>
      <c r="J290" s="980"/>
      <c r="K290" s="980"/>
      <c r="L290" s="1005">
        <f t="shared" si="32"/>
        <v>221640</v>
      </c>
      <c r="M290" s="981">
        <v>33400</v>
      </c>
      <c r="N290" s="981"/>
      <c r="O290" s="981">
        <v>15000</v>
      </c>
      <c r="P290" s="979">
        <v>24500</v>
      </c>
      <c r="Q290" s="981">
        <v>12800</v>
      </c>
      <c r="R290" s="981">
        <v>14000</v>
      </c>
      <c r="S290" s="981">
        <v>30500</v>
      </c>
      <c r="T290" s="981">
        <v>18500</v>
      </c>
      <c r="U290" s="981">
        <v>22400</v>
      </c>
      <c r="V290" s="981">
        <v>16500</v>
      </c>
      <c r="W290" s="981">
        <v>17540</v>
      </c>
      <c r="X290" s="981">
        <v>16500</v>
      </c>
    </row>
    <row r="291" spans="1:24" s="16" customFormat="1" ht="36">
      <c r="B291" s="630" t="s">
        <v>150</v>
      </c>
      <c r="C291" s="627" t="s">
        <v>572</v>
      </c>
      <c r="D291" s="896" t="s">
        <v>164</v>
      </c>
      <c r="E291" s="1005">
        <f t="shared" si="30"/>
        <v>53600</v>
      </c>
      <c r="F291" s="1005">
        <f t="shared" si="31"/>
        <v>53600</v>
      </c>
      <c r="G291" s="979"/>
      <c r="H291" s="980"/>
      <c r="I291" s="980">
        <v>53600</v>
      </c>
      <c r="J291" s="980"/>
      <c r="K291" s="980"/>
      <c r="L291" s="1005">
        <f t="shared" si="32"/>
        <v>0</v>
      </c>
      <c r="M291" s="981"/>
      <c r="N291" s="981"/>
      <c r="O291" s="981"/>
      <c r="P291" s="979"/>
      <c r="Q291" s="1002"/>
      <c r="R291" s="981"/>
      <c r="S291" s="981"/>
      <c r="T291" s="981">
        <v>0</v>
      </c>
      <c r="U291" s="981"/>
      <c r="V291" s="981"/>
      <c r="W291" s="981"/>
      <c r="X291" s="981"/>
    </row>
    <row r="292" spans="1:24" s="16" customFormat="1" ht="36">
      <c r="B292" s="630" t="s">
        <v>289</v>
      </c>
      <c r="C292" s="627" t="s">
        <v>572</v>
      </c>
      <c r="D292" s="896" t="s">
        <v>165</v>
      </c>
      <c r="E292" s="1005">
        <f t="shared" si="30"/>
        <v>3058320</v>
      </c>
      <c r="F292" s="1005">
        <f t="shared" si="31"/>
        <v>2993250</v>
      </c>
      <c r="G292" s="979"/>
      <c r="H292" s="980"/>
      <c r="I292" s="980">
        <v>2993250</v>
      </c>
      <c r="J292" s="980"/>
      <c r="K292" s="980"/>
      <c r="L292" s="1005">
        <f t="shared" si="32"/>
        <v>65070</v>
      </c>
      <c r="M292" s="981">
        <f>7500+2820</f>
        <v>10320</v>
      </c>
      <c r="N292" s="981">
        <v>2000</v>
      </c>
      <c r="O292" s="981">
        <v>8000</v>
      </c>
      <c r="P292" s="979">
        <v>9000</v>
      </c>
      <c r="Q292" s="981">
        <v>2000</v>
      </c>
      <c r="R292" s="981">
        <v>4500</v>
      </c>
      <c r="S292" s="981">
        <v>9000</v>
      </c>
      <c r="T292" s="981">
        <v>6000</v>
      </c>
      <c r="U292" s="981">
        <v>3000</v>
      </c>
      <c r="V292" s="981">
        <v>2250</v>
      </c>
      <c r="W292" s="981">
        <v>6300</v>
      </c>
      <c r="X292" s="981">
        <v>2700</v>
      </c>
    </row>
    <row r="293" spans="1:24" s="16" customFormat="1" ht="36">
      <c r="B293" s="630" t="s">
        <v>152</v>
      </c>
      <c r="C293" s="627" t="s">
        <v>572</v>
      </c>
      <c r="D293" s="895" t="s">
        <v>699</v>
      </c>
      <c r="E293" s="1005">
        <f t="shared" si="30"/>
        <v>68000</v>
      </c>
      <c r="F293" s="1005">
        <f t="shared" si="31"/>
        <v>68000</v>
      </c>
      <c r="G293" s="979"/>
      <c r="H293" s="980"/>
      <c r="I293" s="980">
        <v>68000</v>
      </c>
      <c r="J293" s="980"/>
      <c r="K293" s="980"/>
      <c r="L293" s="1005">
        <f t="shared" si="32"/>
        <v>0</v>
      </c>
      <c r="M293" s="981"/>
      <c r="N293" s="981"/>
      <c r="O293" s="981"/>
      <c r="P293" s="979"/>
      <c r="Q293" s="1002"/>
      <c r="R293" s="981"/>
      <c r="S293" s="981"/>
      <c r="T293" s="981">
        <v>0</v>
      </c>
      <c r="U293" s="981"/>
      <c r="V293" s="981"/>
      <c r="W293" s="981"/>
      <c r="X293" s="981"/>
    </row>
    <row r="294" spans="1:24" s="16" customFormat="1" ht="60">
      <c r="B294" s="630" t="s">
        <v>154</v>
      </c>
      <c r="C294" s="627" t="s">
        <v>572</v>
      </c>
      <c r="D294" s="896" t="s">
        <v>201</v>
      </c>
      <c r="E294" s="1005">
        <f t="shared" si="30"/>
        <v>287500</v>
      </c>
      <c r="F294" s="1005">
        <f t="shared" si="31"/>
        <v>287500</v>
      </c>
      <c r="G294" s="979"/>
      <c r="H294" s="980"/>
      <c r="I294" s="980">
        <v>287500</v>
      </c>
      <c r="J294" s="980"/>
      <c r="K294" s="980"/>
      <c r="L294" s="1005">
        <f t="shared" si="32"/>
        <v>0</v>
      </c>
      <c r="M294" s="979">
        <f t="shared" ref="M294:X294" si="34">SUM(M295:M296)</f>
        <v>0</v>
      </c>
      <c r="N294" s="979">
        <f t="shared" si="34"/>
        <v>0</v>
      </c>
      <c r="O294" s="979">
        <f t="shared" si="34"/>
        <v>0</v>
      </c>
      <c r="P294" s="979">
        <f t="shared" si="34"/>
        <v>0</v>
      </c>
      <c r="Q294" s="979">
        <f t="shared" si="34"/>
        <v>0</v>
      </c>
      <c r="R294" s="979">
        <f t="shared" si="34"/>
        <v>0</v>
      </c>
      <c r="S294" s="979">
        <f t="shared" si="34"/>
        <v>0</v>
      </c>
      <c r="T294" s="979">
        <f t="shared" si="34"/>
        <v>0</v>
      </c>
      <c r="U294" s="979">
        <f t="shared" si="34"/>
        <v>0</v>
      </c>
      <c r="V294" s="979">
        <f t="shared" si="34"/>
        <v>0</v>
      </c>
      <c r="W294" s="979">
        <f t="shared" si="34"/>
        <v>0</v>
      </c>
      <c r="X294" s="979">
        <f t="shared" si="34"/>
        <v>0</v>
      </c>
    </row>
    <row r="295" spans="1:24" s="16" customFormat="1" ht="60">
      <c r="B295" s="633"/>
      <c r="C295" s="627" t="s">
        <v>572</v>
      </c>
      <c r="D295" s="898" t="s">
        <v>202</v>
      </c>
      <c r="E295" s="1005">
        <f t="shared" si="30"/>
        <v>230000</v>
      </c>
      <c r="F295" s="1005">
        <f t="shared" si="31"/>
        <v>230000</v>
      </c>
      <c r="G295" s="979"/>
      <c r="H295" s="980"/>
      <c r="I295" s="980">
        <v>230000</v>
      </c>
      <c r="J295" s="980"/>
      <c r="K295" s="980"/>
      <c r="L295" s="1005">
        <f t="shared" si="32"/>
        <v>0</v>
      </c>
      <c r="M295" s="992"/>
      <c r="N295" s="992"/>
      <c r="O295" s="992"/>
      <c r="P295" s="983"/>
      <c r="Q295" s="992"/>
      <c r="R295" s="983"/>
      <c r="S295" s="992"/>
      <c r="T295" s="983"/>
      <c r="U295" s="983"/>
      <c r="V295" s="983"/>
      <c r="W295" s="983"/>
      <c r="X295" s="983"/>
    </row>
    <row r="296" spans="1:24" s="16" customFormat="1" ht="24">
      <c r="B296" s="633"/>
      <c r="C296" s="627" t="s">
        <v>572</v>
      </c>
      <c r="D296" s="898" t="s">
        <v>203</v>
      </c>
      <c r="E296" s="1005">
        <f t="shared" si="30"/>
        <v>57500</v>
      </c>
      <c r="F296" s="1005">
        <f t="shared" si="31"/>
        <v>57500</v>
      </c>
      <c r="G296" s="979"/>
      <c r="H296" s="980"/>
      <c r="I296" s="980">
        <v>57500</v>
      </c>
      <c r="J296" s="980"/>
      <c r="K296" s="980"/>
      <c r="L296" s="1005">
        <f t="shared" si="32"/>
        <v>0</v>
      </c>
      <c r="M296" s="992"/>
      <c r="N296" s="992"/>
      <c r="O296" s="992"/>
      <c r="P296" s="983"/>
      <c r="Q296" s="992"/>
      <c r="R296" s="983"/>
      <c r="S296" s="992"/>
      <c r="T296" s="983"/>
      <c r="U296" s="983"/>
      <c r="V296" s="983"/>
      <c r="W296" s="983"/>
      <c r="X296" s="983"/>
    </row>
    <row r="297" spans="1:24" s="16" customFormat="1">
      <c r="B297" s="634"/>
      <c r="C297" s="627" t="s">
        <v>572</v>
      </c>
      <c r="D297" s="898"/>
      <c r="E297" s="1005">
        <f t="shared" si="30"/>
        <v>0</v>
      </c>
      <c r="F297" s="1005">
        <f t="shared" si="31"/>
        <v>0</v>
      </c>
      <c r="G297" s="979"/>
      <c r="H297" s="980"/>
      <c r="I297" s="980"/>
      <c r="J297" s="980"/>
      <c r="K297" s="980"/>
      <c r="L297" s="1005">
        <f t="shared" si="32"/>
        <v>0</v>
      </c>
      <c r="M297" s="983"/>
      <c r="N297" s="983"/>
      <c r="O297" s="983"/>
      <c r="P297" s="983"/>
      <c r="Q297" s="983"/>
      <c r="R297" s="983"/>
      <c r="S297" s="983"/>
      <c r="T297" s="983"/>
      <c r="U297" s="983"/>
      <c r="V297" s="983"/>
      <c r="W297" s="983"/>
      <c r="X297" s="983"/>
    </row>
    <row r="298" spans="1:24" s="17" customFormat="1" ht="24">
      <c r="B298" s="629" t="s">
        <v>564</v>
      </c>
      <c r="C298" s="622" t="s">
        <v>572</v>
      </c>
      <c r="D298" s="894" t="s">
        <v>562</v>
      </c>
      <c r="E298" s="973">
        <f t="shared" si="30"/>
        <v>0</v>
      </c>
      <c r="F298" s="973">
        <f t="shared" si="31"/>
        <v>0</v>
      </c>
      <c r="G298" s="1026"/>
      <c r="H298" s="1027"/>
      <c r="I298" s="1027"/>
      <c r="J298" s="1027"/>
      <c r="K298" s="1027"/>
      <c r="L298" s="973">
        <f t="shared" si="32"/>
        <v>0</v>
      </c>
      <c r="M298" s="1028"/>
      <c r="N298" s="1028"/>
      <c r="O298" s="1028"/>
      <c r="P298" s="1028"/>
      <c r="Q298" s="1028"/>
      <c r="R298" s="1028"/>
      <c r="S298" s="1028"/>
      <c r="T298" s="1028"/>
      <c r="U298" s="1028"/>
      <c r="V298" s="1028"/>
      <c r="W298" s="1028"/>
      <c r="X298" s="1028"/>
    </row>
    <row r="299" spans="1:24" s="16" customFormat="1" ht="60">
      <c r="B299" s="630" t="s">
        <v>299</v>
      </c>
      <c r="C299" s="627" t="s">
        <v>572</v>
      </c>
      <c r="D299" s="895" t="s">
        <v>700</v>
      </c>
      <c r="E299" s="1005">
        <f t="shared" si="30"/>
        <v>106596</v>
      </c>
      <c r="F299" s="1005">
        <f t="shared" si="31"/>
        <v>0</v>
      </c>
      <c r="G299" s="979"/>
      <c r="H299" s="980"/>
      <c r="I299" s="980"/>
      <c r="J299" s="980"/>
      <c r="K299" s="980"/>
      <c r="L299" s="1005">
        <f t="shared" si="32"/>
        <v>106596</v>
      </c>
      <c r="M299" s="981">
        <v>6600</v>
      </c>
      <c r="N299" s="981">
        <v>9620</v>
      </c>
      <c r="O299" s="981">
        <v>9000</v>
      </c>
      <c r="P299" s="979">
        <v>9000</v>
      </c>
      <c r="Q299" s="981">
        <v>6800</v>
      </c>
      <c r="R299" s="981">
        <v>9000</v>
      </c>
      <c r="S299" s="981">
        <v>9000</v>
      </c>
      <c r="T299" s="981">
        <v>9000</v>
      </c>
      <c r="U299" s="981">
        <v>4500</v>
      </c>
      <c r="V299" s="981">
        <v>9000</v>
      </c>
      <c r="W299" s="981">
        <v>16076</v>
      </c>
      <c r="X299" s="981">
        <v>9000</v>
      </c>
    </row>
    <row r="300" spans="1:24" s="47" customFormat="1" ht="24">
      <c r="B300" s="630" t="s">
        <v>166</v>
      </c>
      <c r="C300" s="627" t="s">
        <v>572</v>
      </c>
      <c r="D300" s="896" t="s">
        <v>168</v>
      </c>
      <c r="E300" s="1005">
        <f t="shared" si="30"/>
        <v>135800</v>
      </c>
      <c r="F300" s="1005">
        <f t="shared" si="31"/>
        <v>0</v>
      </c>
      <c r="G300" s="979"/>
      <c r="H300" s="980"/>
      <c r="I300" s="980"/>
      <c r="J300" s="980"/>
      <c r="K300" s="980"/>
      <c r="L300" s="1005">
        <f t="shared" si="32"/>
        <v>135800</v>
      </c>
      <c r="M300" s="981">
        <v>30000</v>
      </c>
      <c r="N300" s="981"/>
      <c r="O300" s="981">
        <v>12600</v>
      </c>
      <c r="P300" s="979">
        <v>15500</v>
      </c>
      <c r="Q300" s="981">
        <v>20000</v>
      </c>
      <c r="R300" s="981">
        <v>7500</v>
      </c>
      <c r="S300" s="981">
        <v>19000</v>
      </c>
      <c r="T300" s="981">
        <v>11400</v>
      </c>
      <c r="U300" s="981"/>
      <c r="V300" s="981">
        <v>9900</v>
      </c>
      <c r="W300" s="981"/>
      <c r="X300" s="981">
        <v>9900</v>
      </c>
    </row>
    <row r="301" spans="1:24" s="16" customFormat="1" ht="96">
      <c r="B301" s="630" t="s">
        <v>172</v>
      </c>
      <c r="C301" s="627" t="s">
        <v>572</v>
      </c>
      <c r="D301" s="896" t="s">
        <v>169</v>
      </c>
      <c r="E301" s="1005">
        <f t="shared" si="30"/>
        <v>50000</v>
      </c>
      <c r="F301" s="1005">
        <f t="shared" si="31"/>
        <v>50000</v>
      </c>
      <c r="G301" s="979"/>
      <c r="H301" s="980"/>
      <c r="I301" s="980">
        <v>50000</v>
      </c>
      <c r="J301" s="980"/>
      <c r="K301" s="980"/>
      <c r="L301" s="1005">
        <f t="shared" si="32"/>
        <v>0</v>
      </c>
      <c r="M301" s="981"/>
      <c r="N301" s="981"/>
      <c r="O301" s="981"/>
      <c r="P301" s="979"/>
      <c r="Q301" s="1002"/>
      <c r="R301" s="981"/>
      <c r="S301" s="981"/>
      <c r="T301" s="981"/>
      <c r="U301" s="981"/>
      <c r="V301" s="981"/>
      <c r="W301" s="981"/>
      <c r="X301" s="981"/>
    </row>
    <row r="302" spans="1:24" s="16" customFormat="1" ht="48">
      <c r="B302" s="630" t="s">
        <v>565</v>
      </c>
      <c r="C302" s="627" t="s">
        <v>572</v>
      </c>
      <c r="D302" s="896" t="s">
        <v>170</v>
      </c>
      <c r="E302" s="1005">
        <f t="shared" si="30"/>
        <v>150000</v>
      </c>
      <c r="F302" s="1005">
        <f t="shared" si="31"/>
        <v>150000</v>
      </c>
      <c r="G302" s="979"/>
      <c r="H302" s="980"/>
      <c r="I302" s="980">
        <v>150000</v>
      </c>
      <c r="J302" s="980"/>
      <c r="K302" s="980"/>
      <c r="L302" s="1005">
        <f t="shared" si="32"/>
        <v>0</v>
      </c>
      <c r="M302" s="981"/>
      <c r="N302" s="981"/>
      <c r="O302" s="981"/>
      <c r="P302" s="979"/>
      <c r="Q302" s="1002"/>
      <c r="R302" s="981"/>
      <c r="S302" s="981"/>
      <c r="T302" s="981"/>
      <c r="U302" s="981"/>
      <c r="V302" s="981"/>
      <c r="W302" s="981"/>
      <c r="X302" s="981"/>
    </row>
    <row r="303" spans="1:24" s="16" customFormat="1">
      <c r="B303" s="630" t="s">
        <v>566</v>
      </c>
      <c r="C303" s="627" t="s">
        <v>572</v>
      </c>
      <c r="D303" s="896" t="s">
        <v>171</v>
      </c>
      <c r="E303" s="1005">
        <f t="shared" si="30"/>
        <v>372000</v>
      </c>
      <c r="F303" s="1005">
        <f t="shared" si="31"/>
        <v>372000</v>
      </c>
      <c r="G303" s="979"/>
      <c r="H303" s="980"/>
      <c r="I303" s="980">
        <v>372000</v>
      </c>
      <c r="J303" s="980"/>
      <c r="K303" s="980"/>
      <c r="L303" s="1005">
        <f t="shared" si="32"/>
        <v>0</v>
      </c>
      <c r="M303" s="981"/>
      <c r="N303" s="981"/>
      <c r="O303" s="981"/>
      <c r="P303" s="981"/>
      <c r="Q303" s="981"/>
      <c r="R303" s="981"/>
      <c r="S303" s="981"/>
      <c r="T303" s="981"/>
      <c r="U303" s="981"/>
      <c r="V303" s="981"/>
      <c r="W303" s="981"/>
      <c r="X303" s="981"/>
    </row>
    <row r="304" spans="1:24" s="17" customFormat="1" ht="24">
      <c r="A304" s="17" t="s">
        <v>808</v>
      </c>
      <c r="B304" s="635" t="s">
        <v>277</v>
      </c>
      <c r="C304" s="622" t="s">
        <v>572</v>
      </c>
      <c r="D304" s="899" t="s">
        <v>26</v>
      </c>
      <c r="E304" s="973">
        <f t="shared" si="30"/>
        <v>0</v>
      </c>
      <c r="F304" s="973">
        <f t="shared" si="31"/>
        <v>0</v>
      </c>
      <c r="G304" s="1026"/>
      <c r="H304" s="1027"/>
      <c r="I304" s="1029"/>
      <c r="J304" s="1029"/>
      <c r="K304" s="1029"/>
      <c r="L304" s="973">
        <f t="shared" si="32"/>
        <v>0</v>
      </c>
      <c r="M304" s="1030"/>
      <c r="N304" s="1030"/>
      <c r="O304" s="1030"/>
      <c r="P304" s="1030"/>
      <c r="Q304" s="1030"/>
      <c r="R304" s="1030"/>
      <c r="S304" s="1030"/>
      <c r="T304" s="1030"/>
      <c r="U304" s="1030"/>
      <c r="V304" s="1030"/>
      <c r="W304" s="1030"/>
      <c r="X304" s="1030"/>
    </row>
    <row r="305" spans="1:24" s="16" customFormat="1" ht="48">
      <c r="B305" s="633">
        <v>1</v>
      </c>
      <c r="C305" s="627" t="s">
        <v>572</v>
      </c>
      <c r="D305" s="898" t="s">
        <v>275</v>
      </c>
      <c r="E305" s="1005">
        <f t="shared" si="30"/>
        <v>476433</v>
      </c>
      <c r="F305" s="1005">
        <f t="shared" si="31"/>
        <v>0</v>
      </c>
      <c r="G305" s="979"/>
      <c r="H305" s="980"/>
      <c r="I305" s="980"/>
      <c r="J305" s="980"/>
      <c r="K305" s="980"/>
      <c r="L305" s="1005">
        <f t="shared" si="32"/>
        <v>476433</v>
      </c>
      <c r="M305" s="992">
        <v>91500</v>
      </c>
      <c r="N305" s="992">
        <v>11323</v>
      </c>
      <c r="O305" s="992">
        <v>48000</v>
      </c>
      <c r="P305" s="983">
        <v>54000</v>
      </c>
      <c r="Q305" s="992">
        <v>20800</v>
      </c>
      <c r="R305" s="983">
        <v>29300</v>
      </c>
      <c r="S305" s="992">
        <v>59300</v>
      </c>
      <c r="T305" s="983">
        <v>42750</v>
      </c>
      <c r="U305" s="992">
        <v>22400</v>
      </c>
      <c r="V305" s="983">
        <v>30740</v>
      </c>
      <c r="W305" s="992">
        <v>35100</v>
      </c>
      <c r="X305" s="983">
        <v>31220</v>
      </c>
    </row>
    <row r="306" spans="1:24" s="8" customFormat="1" ht="48">
      <c r="B306" s="633">
        <v>2</v>
      </c>
      <c r="C306" s="627" t="s">
        <v>572</v>
      </c>
      <c r="D306" s="898" t="s">
        <v>182</v>
      </c>
      <c r="E306" s="1005">
        <f t="shared" si="30"/>
        <v>0</v>
      </c>
      <c r="F306" s="1005">
        <f t="shared" si="31"/>
        <v>0</v>
      </c>
      <c r="G306" s="979"/>
      <c r="H306" s="980"/>
      <c r="I306" s="980"/>
      <c r="J306" s="980"/>
      <c r="K306" s="980"/>
      <c r="L306" s="1005">
        <f t="shared" si="32"/>
        <v>0</v>
      </c>
      <c r="M306" s="992"/>
      <c r="N306" s="992"/>
      <c r="O306" s="992"/>
      <c r="P306" s="983"/>
      <c r="Q306" s="992"/>
      <c r="R306" s="983"/>
      <c r="S306" s="992"/>
      <c r="T306" s="983">
        <v>0</v>
      </c>
      <c r="U306" s="992"/>
      <c r="V306" s="983"/>
      <c r="W306" s="992"/>
      <c r="X306" s="983"/>
    </row>
    <row r="307" spans="1:24" s="8" customFormat="1" ht="36">
      <c r="B307" s="633">
        <v>3</v>
      </c>
      <c r="C307" s="627" t="s">
        <v>572</v>
      </c>
      <c r="D307" s="898" t="s">
        <v>183</v>
      </c>
      <c r="E307" s="1005">
        <f t="shared" si="30"/>
        <v>194633</v>
      </c>
      <c r="F307" s="1005">
        <f t="shared" si="31"/>
        <v>32000</v>
      </c>
      <c r="G307" s="979"/>
      <c r="H307" s="980"/>
      <c r="I307" s="980">
        <v>32000</v>
      </c>
      <c r="J307" s="980"/>
      <c r="K307" s="980"/>
      <c r="L307" s="1005">
        <f t="shared" si="32"/>
        <v>162633</v>
      </c>
      <c r="M307" s="992">
        <v>14400</v>
      </c>
      <c r="N307" s="992">
        <v>17637</v>
      </c>
      <c r="O307" s="992">
        <v>6160</v>
      </c>
      <c r="P307" s="983">
        <v>45000</v>
      </c>
      <c r="Q307" s="992">
        <v>41436</v>
      </c>
      <c r="R307" s="983"/>
      <c r="S307" s="992"/>
      <c r="T307" s="983">
        <v>0</v>
      </c>
      <c r="U307" s="992">
        <v>22400</v>
      </c>
      <c r="V307" s="983"/>
      <c r="W307" s="992">
        <v>15600</v>
      </c>
      <c r="X307" s="983"/>
    </row>
    <row r="308" spans="1:24" s="8" customFormat="1" ht="36">
      <c r="B308" s="633">
        <v>4</v>
      </c>
      <c r="C308" s="627" t="s">
        <v>572</v>
      </c>
      <c r="D308" s="900" t="s">
        <v>184</v>
      </c>
      <c r="E308" s="1005">
        <f t="shared" si="30"/>
        <v>41000</v>
      </c>
      <c r="F308" s="1005">
        <f t="shared" si="31"/>
        <v>41000</v>
      </c>
      <c r="G308" s="979"/>
      <c r="H308" s="980"/>
      <c r="I308" s="980">
        <v>41000</v>
      </c>
      <c r="J308" s="980"/>
      <c r="K308" s="980"/>
      <c r="L308" s="1005">
        <f t="shared" si="32"/>
        <v>0</v>
      </c>
      <c r="M308" s="992"/>
      <c r="N308" s="992"/>
      <c r="O308" s="992"/>
      <c r="P308" s="983"/>
      <c r="Q308" s="992"/>
      <c r="R308" s="983"/>
      <c r="S308" s="992"/>
      <c r="T308" s="983">
        <v>0</v>
      </c>
      <c r="U308" s="983"/>
      <c r="V308" s="983"/>
      <c r="W308" s="992"/>
      <c r="X308" s="983"/>
    </row>
    <row r="309" spans="1:24" s="8" customFormat="1" ht="84">
      <c r="B309" s="633">
        <v>5</v>
      </c>
      <c r="C309" s="627" t="s">
        <v>572</v>
      </c>
      <c r="D309" s="898" t="s">
        <v>276</v>
      </c>
      <c r="E309" s="1005">
        <f t="shared" si="30"/>
        <v>131770</v>
      </c>
      <c r="F309" s="1005">
        <f t="shared" si="31"/>
        <v>11200</v>
      </c>
      <c r="G309" s="979"/>
      <c r="H309" s="980"/>
      <c r="I309" s="980">
        <v>11200</v>
      </c>
      <c r="J309" s="980"/>
      <c r="K309" s="980"/>
      <c r="L309" s="1005">
        <f t="shared" si="32"/>
        <v>120570</v>
      </c>
      <c r="M309" s="992">
        <v>17900</v>
      </c>
      <c r="N309" s="992">
        <v>2000</v>
      </c>
      <c r="O309" s="992">
        <v>20000</v>
      </c>
      <c r="P309" s="983">
        <v>54670</v>
      </c>
      <c r="Q309" s="992">
        <v>12000</v>
      </c>
      <c r="R309" s="983">
        <v>2000</v>
      </c>
      <c r="S309" s="992">
        <v>2000</v>
      </c>
      <c r="T309" s="983">
        <v>2000</v>
      </c>
      <c r="U309" s="983">
        <v>2000</v>
      </c>
      <c r="V309" s="983">
        <v>2000</v>
      </c>
      <c r="W309" s="983">
        <v>2000</v>
      </c>
      <c r="X309" s="983">
        <v>2000</v>
      </c>
    </row>
    <row r="310" spans="1:24" s="47" customFormat="1" ht="36">
      <c r="B310" s="631">
        <v>6</v>
      </c>
      <c r="C310" s="627" t="s">
        <v>572</v>
      </c>
      <c r="D310" s="901" t="s">
        <v>185</v>
      </c>
      <c r="E310" s="1005">
        <f t="shared" si="30"/>
        <v>61500</v>
      </c>
      <c r="F310" s="1005">
        <f t="shared" si="31"/>
        <v>0</v>
      </c>
      <c r="G310" s="979"/>
      <c r="H310" s="980"/>
      <c r="I310" s="980"/>
      <c r="J310" s="980"/>
      <c r="K310" s="980"/>
      <c r="L310" s="1005">
        <f t="shared" si="32"/>
        <v>61500</v>
      </c>
      <c r="M310" s="981">
        <v>7500</v>
      </c>
      <c r="N310" s="981">
        <v>3000</v>
      </c>
      <c r="O310" s="981"/>
      <c r="P310" s="979">
        <v>15000</v>
      </c>
      <c r="Q310" s="981"/>
      <c r="R310" s="979">
        <v>5000</v>
      </c>
      <c r="S310" s="981">
        <v>8750</v>
      </c>
      <c r="T310" s="979">
        <v>6250</v>
      </c>
      <c r="U310" s="979">
        <v>6000</v>
      </c>
      <c r="V310" s="979">
        <v>5000</v>
      </c>
      <c r="W310" s="979"/>
      <c r="X310" s="979">
        <v>5000</v>
      </c>
    </row>
    <row r="311" spans="1:24" s="16" customFormat="1">
      <c r="B311" s="633">
        <v>7</v>
      </c>
      <c r="C311" s="627" t="s">
        <v>572</v>
      </c>
      <c r="D311" s="817" t="s">
        <v>290</v>
      </c>
      <c r="E311" s="1005">
        <f t="shared" si="30"/>
        <v>0</v>
      </c>
      <c r="F311" s="1005">
        <f t="shared" si="31"/>
        <v>0</v>
      </c>
      <c r="G311" s="979"/>
      <c r="H311" s="980"/>
      <c r="I311" s="980"/>
      <c r="J311" s="980"/>
      <c r="K311" s="980"/>
      <c r="L311" s="1005">
        <f t="shared" si="32"/>
        <v>0</v>
      </c>
      <c r="M311" s="981"/>
      <c r="N311" s="981"/>
      <c r="O311" s="981"/>
      <c r="P311" s="979"/>
      <c r="Q311" s="981"/>
      <c r="R311" s="979"/>
      <c r="S311" s="981"/>
      <c r="T311" s="979"/>
      <c r="U311" s="979"/>
      <c r="V311" s="979"/>
      <c r="W311" s="979"/>
      <c r="X311" s="979"/>
    </row>
    <row r="312" spans="1:24" s="16" customFormat="1">
      <c r="B312" s="631">
        <v>8</v>
      </c>
      <c r="C312" s="627" t="s">
        <v>572</v>
      </c>
      <c r="D312" s="817" t="s">
        <v>292</v>
      </c>
      <c r="E312" s="1005">
        <f t="shared" si="30"/>
        <v>0</v>
      </c>
      <c r="F312" s="1005">
        <f t="shared" si="31"/>
        <v>0</v>
      </c>
      <c r="G312" s="979"/>
      <c r="H312" s="980"/>
      <c r="I312" s="980"/>
      <c r="J312" s="980"/>
      <c r="K312" s="980"/>
      <c r="L312" s="1005">
        <f t="shared" si="32"/>
        <v>0</v>
      </c>
      <c r="M312" s="981"/>
      <c r="N312" s="981"/>
      <c r="O312" s="981"/>
      <c r="P312" s="979"/>
      <c r="Q312" s="981"/>
      <c r="R312" s="979"/>
      <c r="S312" s="981"/>
      <c r="T312" s="979"/>
      <c r="U312" s="979"/>
      <c r="V312" s="979"/>
      <c r="W312" s="979"/>
      <c r="X312" s="979"/>
    </row>
    <row r="313" spans="1:24" s="16" customFormat="1">
      <c r="B313" s="633">
        <v>9</v>
      </c>
      <c r="C313" s="627" t="s">
        <v>572</v>
      </c>
      <c r="D313" s="817" t="s">
        <v>291</v>
      </c>
      <c r="E313" s="1005">
        <f t="shared" si="30"/>
        <v>0</v>
      </c>
      <c r="F313" s="1005">
        <f t="shared" si="31"/>
        <v>0</v>
      </c>
      <c r="G313" s="979"/>
      <c r="H313" s="980"/>
      <c r="I313" s="980"/>
      <c r="J313" s="980"/>
      <c r="K313" s="980"/>
      <c r="L313" s="1005">
        <f t="shared" si="32"/>
        <v>0</v>
      </c>
      <c r="M313" s="981"/>
      <c r="N313" s="981"/>
      <c r="O313" s="981"/>
      <c r="P313" s="979"/>
      <c r="Q313" s="981"/>
      <c r="R313" s="979"/>
      <c r="S313" s="981"/>
      <c r="T313" s="979"/>
      <c r="U313" s="979"/>
      <c r="V313" s="979"/>
      <c r="W313" s="979"/>
      <c r="X313" s="979"/>
    </row>
    <row r="314" spans="1:24" s="5" customFormat="1" ht="48">
      <c r="A314" s="5">
        <v>7</v>
      </c>
      <c r="B314" s="636">
        <v>7</v>
      </c>
      <c r="C314" s="637" t="s">
        <v>4</v>
      </c>
      <c r="D314" s="902" t="s">
        <v>25</v>
      </c>
      <c r="E314" s="973">
        <f t="shared" si="30"/>
        <v>598903</v>
      </c>
      <c r="F314" s="973">
        <f t="shared" si="31"/>
        <v>196899</v>
      </c>
      <c r="G314" s="974">
        <f>SUM(G315:G325)</f>
        <v>0</v>
      </c>
      <c r="H314" s="975">
        <f t="shared" ref="H314:X314" si="35">SUM(H315:H325)</f>
        <v>0</v>
      </c>
      <c r="I314" s="975">
        <f t="shared" si="35"/>
        <v>0</v>
      </c>
      <c r="J314" s="975">
        <f t="shared" si="35"/>
        <v>0</v>
      </c>
      <c r="K314" s="975">
        <f t="shared" si="35"/>
        <v>196899</v>
      </c>
      <c r="L314" s="973">
        <f t="shared" si="32"/>
        <v>402004</v>
      </c>
      <c r="M314" s="974">
        <f t="shared" si="35"/>
        <v>129971</v>
      </c>
      <c r="N314" s="974">
        <f t="shared" si="35"/>
        <v>8000</v>
      </c>
      <c r="O314" s="974">
        <f t="shared" si="35"/>
        <v>4678</v>
      </c>
      <c r="P314" s="974">
        <f t="shared" si="35"/>
        <v>129000</v>
      </c>
      <c r="Q314" s="974">
        <f t="shared" si="35"/>
        <v>24080</v>
      </c>
      <c r="R314" s="974">
        <f t="shared" si="35"/>
        <v>26826</v>
      </c>
      <c r="S314" s="974">
        <f t="shared" si="35"/>
        <v>16829</v>
      </c>
      <c r="T314" s="974">
        <f t="shared" si="35"/>
        <v>0</v>
      </c>
      <c r="U314" s="974">
        <f t="shared" si="35"/>
        <v>3660</v>
      </c>
      <c r="V314" s="974">
        <f t="shared" si="35"/>
        <v>31950</v>
      </c>
      <c r="W314" s="974">
        <f t="shared" si="35"/>
        <v>5650</v>
      </c>
      <c r="X314" s="974">
        <f t="shared" si="35"/>
        <v>21360</v>
      </c>
    </row>
    <row r="315" spans="1:24" s="16" customFormat="1">
      <c r="B315" s="638">
        <v>1</v>
      </c>
      <c r="C315" s="43" t="s">
        <v>4</v>
      </c>
      <c r="D315" s="903" t="s">
        <v>92</v>
      </c>
      <c r="E315" s="1005">
        <f t="shared" si="30"/>
        <v>289865</v>
      </c>
      <c r="F315" s="1005">
        <f t="shared" si="31"/>
        <v>110939</v>
      </c>
      <c r="G315" s="1031"/>
      <c r="H315" s="999"/>
      <c r="I315" s="999"/>
      <c r="J315" s="999"/>
      <c r="K315" s="999">
        <f>8954+70340+21520+5701+4424</f>
        <v>110939</v>
      </c>
      <c r="L315" s="1005">
        <f t="shared" si="32"/>
        <v>178926</v>
      </c>
      <c r="M315" s="1031">
        <v>64680</v>
      </c>
      <c r="N315" s="1031">
        <v>8000</v>
      </c>
      <c r="O315" s="1032">
        <v>900</v>
      </c>
      <c r="P315" s="983">
        <v>15000</v>
      </c>
      <c r="Q315" s="1032">
        <v>24080</v>
      </c>
      <c r="R315" s="1031">
        <v>13826</v>
      </c>
      <c r="S315" s="1031"/>
      <c r="T315" s="1031"/>
      <c r="U315" s="1032">
        <v>3060</v>
      </c>
      <c r="V315" s="1032">
        <v>29950</v>
      </c>
      <c r="W315" s="1032">
        <v>2800</v>
      </c>
      <c r="X315" s="1031">
        <v>16630</v>
      </c>
    </row>
    <row r="316" spans="1:24" s="16" customFormat="1">
      <c r="B316" s="638">
        <v>3</v>
      </c>
      <c r="C316" s="43" t="s">
        <v>4</v>
      </c>
      <c r="D316" s="904" t="s">
        <v>701</v>
      </c>
      <c r="E316" s="1005">
        <f t="shared" si="30"/>
        <v>77540</v>
      </c>
      <c r="F316" s="1005">
        <f t="shared" si="31"/>
        <v>57540</v>
      </c>
      <c r="G316" s="1031"/>
      <c r="H316" s="999"/>
      <c r="I316" s="999"/>
      <c r="J316" s="999"/>
      <c r="K316" s="999">
        <v>57540</v>
      </c>
      <c r="L316" s="1005">
        <f t="shared" si="32"/>
        <v>20000</v>
      </c>
      <c r="M316" s="1031">
        <v>10271</v>
      </c>
      <c r="N316" s="1031"/>
      <c r="O316" s="1032"/>
      <c r="P316" s="983"/>
      <c r="Q316" s="1032"/>
      <c r="R316" s="1031"/>
      <c r="S316" s="1031">
        <v>6429</v>
      </c>
      <c r="T316" s="1031"/>
      <c r="U316" s="1032">
        <v>600</v>
      </c>
      <c r="V316" s="1032">
        <v>2000</v>
      </c>
      <c r="W316" s="1032">
        <v>450</v>
      </c>
      <c r="X316" s="1031">
        <v>250</v>
      </c>
    </row>
    <row r="317" spans="1:24" s="16" customFormat="1">
      <c r="B317" s="638">
        <v>4</v>
      </c>
      <c r="C317" s="43" t="s">
        <v>4</v>
      </c>
      <c r="D317" s="903" t="s">
        <v>195</v>
      </c>
      <c r="E317" s="1005">
        <f t="shared" si="30"/>
        <v>179698</v>
      </c>
      <c r="F317" s="1005">
        <f t="shared" si="31"/>
        <v>0</v>
      </c>
      <c r="G317" s="1031"/>
      <c r="H317" s="999"/>
      <c r="I317" s="999"/>
      <c r="J317" s="999"/>
      <c r="K317" s="999"/>
      <c r="L317" s="1005">
        <f t="shared" si="32"/>
        <v>179698</v>
      </c>
      <c r="M317" s="1031">
        <v>55020</v>
      </c>
      <c r="N317" s="1031"/>
      <c r="O317" s="1032">
        <v>3778</v>
      </c>
      <c r="P317" s="983">
        <v>97500</v>
      </c>
      <c r="Q317" s="1032"/>
      <c r="R317" s="1031">
        <v>13000</v>
      </c>
      <c r="S317" s="1031">
        <v>10400</v>
      </c>
      <c r="T317" s="1031"/>
      <c r="U317" s="1032"/>
      <c r="V317" s="1032"/>
      <c r="W317" s="1032"/>
      <c r="X317" s="1031">
        <v>0</v>
      </c>
    </row>
    <row r="318" spans="1:24" s="16" customFormat="1">
      <c r="B318" s="638">
        <v>5</v>
      </c>
      <c r="C318" s="43" t="s">
        <v>4</v>
      </c>
      <c r="D318" s="904"/>
      <c r="E318" s="1005"/>
      <c r="F318" s="1005"/>
      <c r="G318" s="1031"/>
      <c r="H318" s="999"/>
      <c r="I318" s="999"/>
      <c r="J318" s="999"/>
      <c r="K318" s="999"/>
      <c r="L318" s="1005"/>
      <c r="M318" s="1031"/>
      <c r="N318" s="1031"/>
      <c r="O318" s="1032"/>
      <c r="P318" s="983"/>
      <c r="Q318" s="1032"/>
      <c r="R318" s="1031"/>
      <c r="S318" s="1031"/>
      <c r="T318" s="1031"/>
      <c r="U318" s="1032"/>
      <c r="V318" s="1032"/>
      <c r="W318" s="1032"/>
      <c r="X318" s="1031"/>
    </row>
    <row r="319" spans="1:24" s="16" customFormat="1">
      <c r="B319" s="638">
        <v>6</v>
      </c>
      <c r="C319" s="43" t="s">
        <v>4</v>
      </c>
      <c r="D319" s="903" t="s">
        <v>197</v>
      </c>
      <c r="E319" s="1005">
        <f t="shared" si="30"/>
        <v>6880</v>
      </c>
      <c r="F319" s="1005">
        <f t="shared" si="31"/>
        <v>0</v>
      </c>
      <c r="G319" s="1031"/>
      <c r="H319" s="999"/>
      <c r="I319" s="999"/>
      <c r="J319" s="999"/>
      <c r="K319" s="999"/>
      <c r="L319" s="1005">
        <f t="shared" si="32"/>
        <v>6880</v>
      </c>
      <c r="M319" s="1031">
        <v>0</v>
      </c>
      <c r="N319" s="1031"/>
      <c r="O319" s="1032"/>
      <c r="P319" s="983"/>
      <c r="Q319" s="1032"/>
      <c r="R319" s="1031">
        <v>0</v>
      </c>
      <c r="S319" s="1031"/>
      <c r="T319" s="1031"/>
      <c r="U319" s="1032"/>
      <c r="V319" s="1032"/>
      <c r="W319" s="1032">
        <v>2400</v>
      </c>
      <c r="X319" s="1031">
        <v>4480</v>
      </c>
    </row>
    <row r="320" spans="1:24" s="16" customFormat="1" ht="24">
      <c r="B320" s="638">
        <v>8</v>
      </c>
      <c r="C320" s="43" t="s">
        <v>4</v>
      </c>
      <c r="D320" s="903" t="s">
        <v>198</v>
      </c>
      <c r="E320" s="1005">
        <f t="shared" si="30"/>
        <v>44920</v>
      </c>
      <c r="F320" s="1005">
        <f t="shared" si="31"/>
        <v>28420</v>
      </c>
      <c r="G320" s="1031"/>
      <c r="H320" s="999"/>
      <c r="I320" s="999"/>
      <c r="J320" s="999"/>
      <c r="K320" s="999">
        <f>23750+4670</f>
        <v>28420</v>
      </c>
      <c r="L320" s="1005">
        <f t="shared" si="32"/>
        <v>16500</v>
      </c>
      <c r="M320" s="1031">
        <v>0</v>
      </c>
      <c r="N320" s="1031"/>
      <c r="O320" s="1032"/>
      <c r="P320" s="983">
        <v>16500</v>
      </c>
      <c r="Q320" s="1032"/>
      <c r="R320" s="1031">
        <v>0</v>
      </c>
      <c r="S320" s="1031"/>
      <c r="T320" s="1031"/>
      <c r="U320" s="1032"/>
      <c r="V320" s="1032"/>
      <c r="W320" s="1032"/>
      <c r="X320" s="1031">
        <v>0</v>
      </c>
    </row>
    <row r="321" spans="1:24" s="16" customFormat="1" ht="24">
      <c r="B321" s="638">
        <v>8</v>
      </c>
      <c r="C321" s="43" t="s">
        <v>4</v>
      </c>
      <c r="D321" s="903" t="s">
        <v>199</v>
      </c>
      <c r="E321" s="1005">
        <f t="shared" si="30"/>
        <v>0</v>
      </c>
      <c r="F321" s="1005">
        <f t="shared" si="31"/>
        <v>0</v>
      </c>
      <c r="G321" s="1031"/>
      <c r="H321" s="999"/>
      <c r="I321" s="999"/>
      <c r="J321" s="999"/>
      <c r="K321" s="999"/>
      <c r="L321" s="1005">
        <f t="shared" si="32"/>
        <v>0</v>
      </c>
      <c r="M321" s="1031">
        <v>0</v>
      </c>
      <c r="N321" s="1031"/>
      <c r="O321" s="1032"/>
      <c r="P321" s="983"/>
      <c r="Q321" s="1032"/>
      <c r="R321" s="1031">
        <v>0</v>
      </c>
      <c r="S321" s="1031"/>
      <c r="T321" s="1031"/>
      <c r="U321" s="1032"/>
      <c r="V321" s="1032"/>
      <c r="W321" s="1032"/>
      <c r="X321" s="1031">
        <v>0</v>
      </c>
    </row>
    <row r="322" spans="1:24" s="16" customFormat="1" ht="36">
      <c r="B322" s="638">
        <v>9</v>
      </c>
      <c r="C322" s="43" t="s">
        <v>4</v>
      </c>
      <c r="D322" s="903" t="s">
        <v>200</v>
      </c>
      <c r="E322" s="1005">
        <f t="shared" si="30"/>
        <v>0</v>
      </c>
      <c r="F322" s="1005">
        <f t="shared" si="31"/>
        <v>0</v>
      </c>
      <c r="G322" s="1031"/>
      <c r="H322" s="999"/>
      <c r="I322" s="999"/>
      <c r="J322" s="999"/>
      <c r="K322" s="999"/>
      <c r="L322" s="1005">
        <f t="shared" si="32"/>
        <v>0</v>
      </c>
      <c r="M322" s="1031">
        <v>0</v>
      </c>
      <c r="N322" s="1031"/>
      <c r="O322" s="1032"/>
      <c r="P322" s="983"/>
      <c r="Q322" s="1032"/>
      <c r="R322" s="1031">
        <v>0</v>
      </c>
      <c r="S322" s="1031"/>
      <c r="T322" s="1031"/>
      <c r="U322" s="1032"/>
      <c r="V322" s="1032"/>
      <c r="W322" s="1032"/>
      <c r="X322" s="1031">
        <v>0</v>
      </c>
    </row>
    <row r="323" spans="1:24" s="16" customFormat="1">
      <c r="B323" s="638">
        <v>10</v>
      </c>
      <c r="C323" s="43" t="s">
        <v>4</v>
      </c>
      <c r="D323" s="905" t="s">
        <v>290</v>
      </c>
      <c r="E323" s="1005">
        <f t="shared" si="30"/>
        <v>0</v>
      </c>
      <c r="F323" s="1005">
        <f t="shared" si="31"/>
        <v>0</v>
      </c>
      <c r="G323" s="1031"/>
      <c r="H323" s="999"/>
      <c r="I323" s="999"/>
      <c r="J323" s="999"/>
      <c r="K323" s="999"/>
      <c r="L323" s="1005">
        <f t="shared" si="32"/>
        <v>0</v>
      </c>
      <c r="M323" s="1031">
        <v>0</v>
      </c>
      <c r="N323" s="1031"/>
      <c r="O323" s="1032"/>
      <c r="P323" s="983"/>
      <c r="Q323" s="1032"/>
      <c r="R323" s="1031">
        <v>0</v>
      </c>
      <c r="S323" s="1031"/>
      <c r="T323" s="1031"/>
      <c r="U323" s="1032"/>
      <c r="V323" s="1032"/>
      <c r="W323" s="1032"/>
      <c r="X323" s="1031">
        <v>0</v>
      </c>
    </row>
    <row r="324" spans="1:24" s="16" customFormat="1">
      <c r="B324" s="638">
        <v>11</v>
      </c>
      <c r="C324" s="43" t="s">
        <v>4</v>
      </c>
      <c r="D324" s="905" t="s">
        <v>292</v>
      </c>
      <c r="E324" s="1005">
        <f t="shared" si="30"/>
        <v>0</v>
      </c>
      <c r="F324" s="1005">
        <f t="shared" si="31"/>
        <v>0</v>
      </c>
      <c r="G324" s="1031"/>
      <c r="H324" s="999"/>
      <c r="I324" s="999"/>
      <c r="J324" s="999"/>
      <c r="K324" s="999"/>
      <c r="L324" s="1005">
        <f t="shared" si="32"/>
        <v>0</v>
      </c>
      <c r="M324" s="1031">
        <v>0</v>
      </c>
      <c r="N324" s="1031"/>
      <c r="O324" s="1032"/>
      <c r="P324" s="983"/>
      <c r="Q324" s="1032"/>
      <c r="R324" s="1031">
        <v>0</v>
      </c>
      <c r="S324" s="1031"/>
      <c r="T324" s="1031"/>
      <c r="U324" s="1032"/>
      <c r="V324" s="1032"/>
      <c r="W324" s="1032"/>
      <c r="X324" s="1031">
        <v>0</v>
      </c>
    </row>
    <row r="325" spans="1:24" s="16" customFormat="1">
      <c r="B325" s="638">
        <v>12</v>
      </c>
      <c r="C325" s="43" t="s">
        <v>4</v>
      </c>
      <c r="D325" s="905" t="s">
        <v>291</v>
      </c>
      <c r="E325" s="1005">
        <f t="shared" ref="E325:E384" si="36">F325+L325</f>
        <v>0</v>
      </c>
      <c r="F325" s="1005">
        <f t="shared" ref="F325:F384" si="37">SUM(G325:K325)</f>
        <v>0</v>
      </c>
      <c r="G325" s="1031"/>
      <c r="H325" s="999"/>
      <c r="I325" s="999"/>
      <c r="J325" s="999"/>
      <c r="K325" s="999"/>
      <c r="L325" s="1005">
        <f t="shared" ref="L325:L384" si="38">SUM(M325:X325)</f>
        <v>0</v>
      </c>
      <c r="M325" s="1031">
        <v>0</v>
      </c>
      <c r="N325" s="1031"/>
      <c r="O325" s="1032"/>
      <c r="P325" s="983"/>
      <c r="Q325" s="1032"/>
      <c r="R325" s="1031">
        <v>0</v>
      </c>
      <c r="S325" s="1031"/>
      <c r="T325" s="1031"/>
      <c r="U325" s="1032"/>
      <c r="V325" s="1032"/>
      <c r="W325" s="1032"/>
      <c r="X325" s="1031">
        <v>0</v>
      </c>
    </row>
    <row r="326" spans="1:24" s="5" customFormat="1" ht="36">
      <c r="A326" s="5">
        <v>8</v>
      </c>
      <c r="B326" s="639">
        <v>8</v>
      </c>
      <c r="C326" s="640" t="s">
        <v>34</v>
      </c>
      <c r="D326" s="823" t="s">
        <v>533</v>
      </c>
      <c r="E326" s="973">
        <f t="shared" si="36"/>
        <v>1850285.04</v>
      </c>
      <c r="F326" s="973">
        <f t="shared" si="37"/>
        <v>260150</v>
      </c>
      <c r="G326" s="974">
        <f>SUM(G327:G353)</f>
        <v>260150</v>
      </c>
      <c r="H326" s="975">
        <f t="shared" ref="H326:X326" si="39">SUM(H327:H353)</f>
        <v>0</v>
      </c>
      <c r="I326" s="975">
        <f t="shared" si="39"/>
        <v>0</v>
      </c>
      <c r="J326" s="975">
        <f t="shared" si="39"/>
        <v>0</v>
      </c>
      <c r="K326" s="975">
        <f t="shared" si="39"/>
        <v>0</v>
      </c>
      <c r="L326" s="973">
        <f t="shared" si="38"/>
        <v>1590135.04</v>
      </c>
      <c r="M326" s="974">
        <f t="shared" si="39"/>
        <v>229848</v>
      </c>
      <c r="N326" s="974">
        <f t="shared" si="39"/>
        <v>62900</v>
      </c>
      <c r="O326" s="974">
        <f t="shared" si="39"/>
        <v>143565</v>
      </c>
      <c r="P326" s="974">
        <f t="shared" si="39"/>
        <v>35600</v>
      </c>
      <c r="Q326" s="974">
        <f t="shared" si="39"/>
        <v>95136</v>
      </c>
      <c r="R326" s="974">
        <f t="shared" si="39"/>
        <v>52040</v>
      </c>
      <c r="S326" s="974">
        <f t="shared" si="39"/>
        <v>52455</v>
      </c>
      <c r="T326" s="974">
        <f t="shared" si="39"/>
        <v>87264</v>
      </c>
      <c r="U326" s="974">
        <f t="shared" si="39"/>
        <v>666967.04000000004</v>
      </c>
      <c r="V326" s="974">
        <f t="shared" si="39"/>
        <v>66210</v>
      </c>
      <c r="W326" s="974">
        <f t="shared" si="39"/>
        <v>62650</v>
      </c>
      <c r="X326" s="974">
        <f t="shared" si="39"/>
        <v>35500</v>
      </c>
    </row>
    <row r="327" spans="1:24" ht="24">
      <c r="B327" s="621">
        <v>1</v>
      </c>
      <c r="C327" s="641" t="s">
        <v>34</v>
      </c>
      <c r="D327" s="832" t="s">
        <v>99</v>
      </c>
      <c r="E327" s="973">
        <f t="shared" si="36"/>
        <v>21400</v>
      </c>
      <c r="F327" s="973">
        <f t="shared" si="37"/>
        <v>21400</v>
      </c>
      <c r="G327" s="979">
        <v>21400</v>
      </c>
      <c r="H327" s="980"/>
      <c r="I327" s="980"/>
      <c r="J327" s="980"/>
      <c r="K327" s="980"/>
      <c r="L327" s="973">
        <f t="shared" si="38"/>
        <v>0</v>
      </c>
      <c r="M327" s="981"/>
      <c r="N327" s="985"/>
      <c r="O327" s="985"/>
      <c r="P327" s="985"/>
      <c r="Q327" s="995"/>
      <c r="R327" s="985"/>
      <c r="S327" s="985"/>
      <c r="T327" s="985"/>
      <c r="U327" s="981"/>
      <c r="V327" s="985"/>
      <c r="W327" s="985"/>
      <c r="X327" s="981"/>
    </row>
    <row r="328" spans="1:24" ht="24">
      <c r="B328" s="621">
        <v>2</v>
      </c>
      <c r="C328" s="641" t="s">
        <v>34</v>
      </c>
      <c r="D328" s="832" t="s">
        <v>621</v>
      </c>
      <c r="E328" s="973">
        <f t="shared" si="36"/>
        <v>21400</v>
      </c>
      <c r="F328" s="973">
        <f t="shared" si="37"/>
        <v>21400</v>
      </c>
      <c r="G328" s="979">
        <v>21400</v>
      </c>
      <c r="H328" s="980"/>
      <c r="I328" s="980"/>
      <c r="J328" s="980"/>
      <c r="K328" s="980"/>
      <c r="L328" s="973">
        <f t="shared" si="38"/>
        <v>0</v>
      </c>
      <c r="M328" s="981"/>
      <c r="N328" s="985"/>
      <c r="O328" s="985"/>
      <c r="P328" s="985"/>
      <c r="Q328" s="995"/>
      <c r="R328" s="985"/>
      <c r="S328" s="985"/>
      <c r="T328" s="985"/>
      <c r="U328" s="992"/>
      <c r="V328" s="985"/>
      <c r="W328" s="985"/>
      <c r="X328" s="981"/>
    </row>
    <row r="329" spans="1:24" ht="36">
      <c r="B329" s="621">
        <v>3</v>
      </c>
      <c r="C329" s="641" t="s">
        <v>34</v>
      </c>
      <c r="D329" s="832" t="s">
        <v>100</v>
      </c>
      <c r="E329" s="973">
        <f t="shared" si="36"/>
        <v>230520</v>
      </c>
      <c r="F329" s="973">
        <f t="shared" si="37"/>
        <v>0</v>
      </c>
      <c r="G329" s="979"/>
      <c r="H329" s="980"/>
      <c r="I329" s="980"/>
      <c r="J329" s="980"/>
      <c r="K329" s="980"/>
      <c r="L329" s="973">
        <f t="shared" si="38"/>
        <v>230520</v>
      </c>
      <c r="M329" s="981">
        <v>19200</v>
      </c>
      <c r="N329" s="985">
        <v>18000</v>
      </c>
      <c r="O329" s="985">
        <v>18000</v>
      </c>
      <c r="P329" s="985">
        <v>18000</v>
      </c>
      <c r="Q329" s="995">
        <v>16800</v>
      </c>
      <c r="R329" s="985">
        <v>22720</v>
      </c>
      <c r="S329" s="985"/>
      <c r="T329" s="985">
        <v>9900</v>
      </c>
      <c r="U329" s="992">
        <v>51200</v>
      </c>
      <c r="V329" s="985">
        <v>32400</v>
      </c>
      <c r="W329" s="985">
        <v>8100</v>
      </c>
      <c r="X329" s="979">
        <v>16200</v>
      </c>
    </row>
    <row r="330" spans="1:24" ht="60">
      <c r="B330" s="621">
        <v>4</v>
      </c>
      <c r="C330" s="641" t="s">
        <v>34</v>
      </c>
      <c r="D330" s="832" t="s">
        <v>101</v>
      </c>
      <c r="E330" s="973">
        <f t="shared" si="36"/>
        <v>251048</v>
      </c>
      <c r="F330" s="973">
        <f t="shared" si="37"/>
        <v>49600</v>
      </c>
      <c r="G330" s="979">
        <v>49600</v>
      </c>
      <c r="H330" s="980"/>
      <c r="I330" s="980"/>
      <c r="J330" s="980"/>
      <c r="K330" s="980"/>
      <c r="L330" s="973">
        <f t="shared" si="38"/>
        <v>201448</v>
      </c>
      <c r="M330" s="979">
        <v>176248</v>
      </c>
      <c r="N330" s="985"/>
      <c r="O330" s="995">
        <v>5200</v>
      </c>
      <c r="P330" s="985"/>
      <c r="Q330" s="995">
        <v>20000</v>
      </c>
      <c r="R330" s="995"/>
      <c r="S330" s="985"/>
      <c r="T330" s="995"/>
      <c r="U330" s="992"/>
      <c r="V330" s="995"/>
      <c r="W330" s="995"/>
      <c r="X330" s="979"/>
    </row>
    <row r="331" spans="1:24" ht="36">
      <c r="B331" s="621">
        <v>5</v>
      </c>
      <c r="C331" s="641" t="s">
        <v>34</v>
      </c>
      <c r="D331" s="832" t="s">
        <v>622</v>
      </c>
      <c r="E331" s="973">
        <f t="shared" si="36"/>
        <v>577805</v>
      </c>
      <c r="F331" s="973">
        <f t="shared" si="37"/>
        <v>0</v>
      </c>
      <c r="G331" s="979"/>
      <c r="H331" s="980"/>
      <c r="I331" s="980"/>
      <c r="J331" s="980"/>
      <c r="K331" s="980"/>
      <c r="L331" s="973">
        <f t="shared" si="38"/>
        <v>577805</v>
      </c>
      <c r="M331" s="979">
        <v>26300</v>
      </c>
      <c r="N331" s="985">
        <v>29000</v>
      </c>
      <c r="O331" s="995">
        <v>50000</v>
      </c>
      <c r="P331" s="985">
        <v>17600</v>
      </c>
      <c r="Q331" s="995">
        <v>19000</v>
      </c>
      <c r="R331" s="995">
        <v>1000</v>
      </c>
      <c r="S331" s="985">
        <v>13475</v>
      </c>
      <c r="T331" s="995">
        <v>45160</v>
      </c>
      <c r="U331" s="992">
        <v>342000</v>
      </c>
      <c r="V331" s="995">
        <v>1290</v>
      </c>
      <c r="W331" s="995">
        <v>16080</v>
      </c>
      <c r="X331" s="979">
        <v>16900</v>
      </c>
    </row>
    <row r="332" spans="1:24">
      <c r="B332" s="621">
        <v>6</v>
      </c>
      <c r="C332" s="641" t="s">
        <v>34</v>
      </c>
      <c r="D332" s="832" t="s">
        <v>102</v>
      </c>
      <c r="E332" s="973">
        <f t="shared" si="36"/>
        <v>5850</v>
      </c>
      <c r="F332" s="973">
        <f t="shared" si="37"/>
        <v>0</v>
      </c>
      <c r="G332" s="979"/>
      <c r="H332" s="980"/>
      <c r="I332" s="980"/>
      <c r="J332" s="980"/>
      <c r="K332" s="980"/>
      <c r="L332" s="973">
        <f t="shared" si="38"/>
        <v>5850</v>
      </c>
      <c r="M332" s="979"/>
      <c r="N332" s="985"/>
      <c r="O332" s="995"/>
      <c r="P332" s="995"/>
      <c r="Q332" s="995"/>
      <c r="R332" s="995"/>
      <c r="S332" s="985">
        <v>2250</v>
      </c>
      <c r="T332" s="995"/>
      <c r="U332" s="995"/>
      <c r="V332" s="995">
        <v>3600</v>
      </c>
      <c r="W332" s="995"/>
      <c r="X332" s="979"/>
    </row>
    <row r="333" spans="1:24" ht="24">
      <c r="B333" s="621">
        <v>7</v>
      </c>
      <c r="C333" s="641" t="s">
        <v>34</v>
      </c>
      <c r="D333" s="906" t="s">
        <v>103</v>
      </c>
      <c r="E333" s="973">
        <f t="shared" si="36"/>
        <v>19100</v>
      </c>
      <c r="F333" s="973">
        <f t="shared" si="37"/>
        <v>0</v>
      </c>
      <c r="G333" s="979"/>
      <c r="H333" s="980"/>
      <c r="I333" s="980"/>
      <c r="J333" s="980"/>
      <c r="K333" s="980"/>
      <c r="L333" s="973">
        <f t="shared" si="38"/>
        <v>19100</v>
      </c>
      <c r="M333" s="979"/>
      <c r="N333" s="985">
        <v>5400</v>
      </c>
      <c r="O333" s="995"/>
      <c r="P333" s="995"/>
      <c r="Q333" s="995">
        <v>2500</v>
      </c>
      <c r="R333" s="995"/>
      <c r="S333" s="985">
        <v>400</v>
      </c>
      <c r="T333" s="985">
        <v>2520</v>
      </c>
      <c r="U333" s="995"/>
      <c r="V333" s="995">
        <v>5280</v>
      </c>
      <c r="W333" s="995">
        <v>3000</v>
      </c>
      <c r="X333" s="979"/>
    </row>
    <row r="334" spans="1:24" ht="24">
      <c r="B334" s="621">
        <v>8</v>
      </c>
      <c r="C334" s="641" t="s">
        <v>34</v>
      </c>
      <c r="D334" s="906" t="s">
        <v>104</v>
      </c>
      <c r="E334" s="973">
        <f t="shared" si="36"/>
        <v>1750</v>
      </c>
      <c r="F334" s="973">
        <f t="shared" si="37"/>
        <v>0</v>
      </c>
      <c r="G334" s="979"/>
      <c r="H334" s="980"/>
      <c r="I334" s="980"/>
      <c r="J334" s="980"/>
      <c r="K334" s="980"/>
      <c r="L334" s="973">
        <f t="shared" si="38"/>
        <v>1750</v>
      </c>
      <c r="M334" s="979"/>
      <c r="N334" s="985"/>
      <c r="O334" s="995"/>
      <c r="P334" s="995"/>
      <c r="Q334" s="995"/>
      <c r="R334" s="995"/>
      <c r="S334" s="985">
        <v>1750</v>
      </c>
      <c r="T334" s="995"/>
      <c r="U334" s="995"/>
      <c r="V334" s="995"/>
      <c r="W334" s="995"/>
      <c r="X334" s="979"/>
    </row>
    <row r="335" spans="1:24" ht="24">
      <c r="B335" s="621">
        <v>9</v>
      </c>
      <c r="C335" s="641" t="s">
        <v>34</v>
      </c>
      <c r="D335" s="906" t="s">
        <v>623</v>
      </c>
      <c r="E335" s="973">
        <f t="shared" si="36"/>
        <v>0</v>
      </c>
      <c r="F335" s="973">
        <f t="shared" si="37"/>
        <v>0</v>
      </c>
      <c r="G335" s="979"/>
      <c r="H335" s="980"/>
      <c r="I335" s="980"/>
      <c r="J335" s="980"/>
      <c r="K335" s="980"/>
      <c r="L335" s="973">
        <f t="shared" si="38"/>
        <v>0</v>
      </c>
      <c r="M335" s="979"/>
      <c r="N335" s="985"/>
      <c r="O335" s="995"/>
      <c r="P335" s="995"/>
      <c r="Q335" s="995"/>
      <c r="R335" s="995"/>
      <c r="S335" s="985"/>
      <c r="T335" s="995"/>
      <c r="U335" s="995"/>
      <c r="V335" s="995"/>
      <c r="W335" s="995"/>
      <c r="X335" s="979"/>
    </row>
    <row r="336" spans="1:24" ht="60">
      <c r="B336" s="621">
        <v>10</v>
      </c>
      <c r="C336" s="641" t="s">
        <v>34</v>
      </c>
      <c r="D336" s="832" t="s">
        <v>105</v>
      </c>
      <c r="E336" s="973">
        <f t="shared" si="36"/>
        <v>6300</v>
      </c>
      <c r="F336" s="973">
        <f t="shared" si="37"/>
        <v>0</v>
      </c>
      <c r="G336" s="979"/>
      <c r="H336" s="980"/>
      <c r="I336" s="980"/>
      <c r="J336" s="980"/>
      <c r="K336" s="980"/>
      <c r="L336" s="973">
        <f t="shared" si="38"/>
        <v>6300</v>
      </c>
      <c r="M336" s="979">
        <v>3300</v>
      </c>
      <c r="N336" s="985"/>
      <c r="O336" s="995"/>
      <c r="P336" s="995"/>
      <c r="Q336" s="995"/>
      <c r="R336" s="995"/>
      <c r="S336" s="985"/>
      <c r="T336" s="995"/>
      <c r="U336" s="995"/>
      <c r="V336" s="995"/>
      <c r="W336" s="995">
        <v>3000</v>
      </c>
      <c r="X336" s="979"/>
    </row>
    <row r="337" spans="2:24" ht="24">
      <c r="B337" s="621">
        <v>11</v>
      </c>
      <c r="C337" s="641" t="s">
        <v>34</v>
      </c>
      <c r="D337" s="832" t="s">
        <v>106</v>
      </c>
      <c r="E337" s="973">
        <f t="shared" si="36"/>
        <v>27940</v>
      </c>
      <c r="F337" s="973">
        <f t="shared" si="37"/>
        <v>0</v>
      </c>
      <c r="G337" s="979"/>
      <c r="H337" s="980"/>
      <c r="I337" s="980"/>
      <c r="J337" s="980"/>
      <c r="K337" s="980"/>
      <c r="L337" s="973">
        <f t="shared" si="38"/>
        <v>27940</v>
      </c>
      <c r="M337" s="979"/>
      <c r="N337" s="985">
        <v>6000</v>
      </c>
      <c r="O337" s="995">
        <v>3400</v>
      </c>
      <c r="P337" s="995"/>
      <c r="Q337" s="995">
        <v>3500</v>
      </c>
      <c r="R337" s="995">
        <v>3540</v>
      </c>
      <c r="S337" s="985"/>
      <c r="T337" s="985"/>
      <c r="U337" s="995">
        <v>10600</v>
      </c>
      <c r="V337" s="995"/>
      <c r="W337" s="995">
        <v>900</v>
      </c>
      <c r="X337" s="979"/>
    </row>
    <row r="338" spans="2:24" ht="48">
      <c r="B338" s="621">
        <v>12</v>
      </c>
      <c r="C338" s="641" t="s">
        <v>34</v>
      </c>
      <c r="D338" s="832" t="s">
        <v>107</v>
      </c>
      <c r="E338" s="973">
        <f t="shared" si="36"/>
        <v>4800</v>
      </c>
      <c r="F338" s="973">
        <f t="shared" si="37"/>
        <v>0</v>
      </c>
      <c r="G338" s="979"/>
      <c r="H338" s="980"/>
      <c r="I338" s="980"/>
      <c r="J338" s="980"/>
      <c r="K338" s="980"/>
      <c r="L338" s="973">
        <f t="shared" si="38"/>
        <v>4800</v>
      </c>
      <c r="M338" s="981">
        <v>4800</v>
      </c>
      <c r="N338" s="985"/>
      <c r="O338" s="985"/>
      <c r="P338" s="985"/>
      <c r="Q338" s="995"/>
      <c r="R338" s="985"/>
      <c r="S338" s="985"/>
      <c r="T338" s="985"/>
      <c r="U338" s="985"/>
      <c r="V338" s="985"/>
      <c r="W338" s="985"/>
      <c r="X338" s="981"/>
    </row>
    <row r="339" spans="2:24" ht="48">
      <c r="B339" s="621">
        <v>13</v>
      </c>
      <c r="C339" s="641" t="s">
        <v>34</v>
      </c>
      <c r="D339" s="844" t="s">
        <v>702</v>
      </c>
      <c r="E339" s="973"/>
      <c r="F339" s="973"/>
      <c r="G339" s="979"/>
      <c r="H339" s="980"/>
      <c r="I339" s="980"/>
      <c r="J339" s="980"/>
      <c r="K339" s="980"/>
      <c r="L339" s="973"/>
      <c r="M339" s="981"/>
      <c r="N339" s="985"/>
      <c r="O339" s="985"/>
      <c r="P339" s="985"/>
      <c r="Q339" s="995"/>
      <c r="R339" s="985"/>
      <c r="S339" s="985"/>
      <c r="T339" s="985"/>
      <c r="U339" s="985"/>
      <c r="V339" s="985"/>
      <c r="W339" s="985"/>
      <c r="X339" s="981"/>
    </row>
    <row r="340" spans="2:24" ht="36">
      <c r="B340" s="621">
        <v>14</v>
      </c>
      <c r="C340" s="641" t="s">
        <v>34</v>
      </c>
      <c r="D340" s="832" t="s">
        <v>109</v>
      </c>
      <c r="E340" s="973">
        <f t="shared" si="36"/>
        <v>45000</v>
      </c>
      <c r="F340" s="973">
        <f t="shared" si="37"/>
        <v>0</v>
      </c>
      <c r="G340" s="979"/>
      <c r="H340" s="980"/>
      <c r="I340" s="980"/>
      <c r="J340" s="980"/>
      <c r="K340" s="980"/>
      <c r="L340" s="973">
        <f t="shared" si="38"/>
        <v>45000</v>
      </c>
      <c r="M340" s="981"/>
      <c r="N340" s="985"/>
      <c r="O340" s="985">
        <v>45000</v>
      </c>
      <c r="P340" s="985"/>
      <c r="Q340" s="995"/>
      <c r="R340" s="985"/>
      <c r="S340" s="985"/>
      <c r="T340" s="985"/>
      <c r="U340" s="985"/>
      <c r="V340" s="985"/>
      <c r="W340" s="985"/>
      <c r="X340" s="981"/>
    </row>
    <row r="341" spans="2:24" ht="24">
      <c r="B341" s="621">
        <v>15</v>
      </c>
      <c r="C341" s="641" t="s">
        <v>34</v>
      </c>
      <c r="D341" s="832" t="s">
        <v>110</v>
      </c>
      <c r="E341" s="973">
        <f t="shared" si="36"/>
        <v>25200</v>
      </c>
      <c r="F341" s="973">
        <f t="shared" si="37"/>
        <v>25200</v>
      </c>
      <c r="G341" s="979">
        <v>25200</v>
      </c>
      <c r="H341" s="980"/>
      <c r="I341" s="980"/>
      <c r="J341" s="980"/>
      <c r="K341" s="980"/>
      <c r="L341" s="973">
        <f t="shared" si="38"/>
        <v>0</v>
      </c>
      <c r="M341" s="981"/>
      <c r="N341" s="985"/>
      <c r="O341" s="985"/>
      <c r="P341" s="985"/>
      <c r="Q341" s="995"/>
      <c r="R341" s="985"/>
      <c r="S341" s="985"/>
      <c r="T341" s="985"/>
      <c r="U341" s="985"/>
      <c r="V341" s="985"/>
      <c r="W341" s="985"/>
      <c r="X341" s="981"/>
    </row>
    <row r="342" spans="2:24" ht="24">
      <c r="B342" s="621">
        <v>16</v>
      </c>
      <c r="C342" s="641" t="s">
        <v>34</v>
      </c>
      <c r="D342" s="832" t="s">
        <v>111</v>
      </c>
      <c r="E342" s="973">
        <f t="shared" si="36"/>
        <v>19200</v>
      </c>
      <c r="F342" s="973">
        <f t="shared" si="37"/>
        <v>19200</v>
      </c>
      <c r="G342" s="979">
        <v>19200</v>
      </c>
      <c r="H342" s="980"/>
      <c r="I342" s="980"/>
      <c r="J342" s="980"/>
      <c r="K342" s="980"/>
      <c r="L342" s="973">
        <f t="shared" si="38"/>
        <v>0</v>
      </c>
      <c r="M342" s="981"/>
      <c r="N342" s="985"/>
      <c r="O342" s="985"/>
      <c r="P342" s="985"/>
      <c r="Q342" s="995"/>
      <c r="R342" s="985"/>
      <c r="S342" s="985"/>
      <c r="T342" s="985"/>
      <c r="U342" s="985"/>
      <c r="V342" s="985"/>
      <c r="W342" s="985"/>
      <c r="X342" s="981"/>
    </row>
    <row r="343" spans="2:24" ht="24">
      <c r="B343" s="621">
        <v>17</v>
      </c>
      <c r="C343" s="641" t="s">
        <v>34</v>
      </c>
      <c r="D343" s="832" t="s">
        <v>493</v>
      </c>
      <c r="E343" s="973">
        <f t="shared" si="36"/>
        <v>105299</v>
      </c>
      <c r="F343" s="973">
        <f t="shared" si="37"/>
        <v>0</v>
      </c>
      <c r="G343" s="979"/>
      <c r="H343" s="980"/>
      <c r="I343" s="980"/>
      <c r="J343" s="980"/>
      <c r="K343" s="980"/>
      <c r="L343" s="973">
        <f t="shared" si="38"/>
        <v>105299</v>
      </c>
      <c r="M343" s="981"/>
      <c r="N343" s="985"/>
      <c r="O343" s="985">
        <v>21965</v>
      </c>
      <c r="P343" s="985"/>
      <c r="Q343" s="995">
        <v>26600</v>
      </c>
      <c r="R343" s="985"/>
      <c r="S343" s="985"/>
      <c r="T343" s="985">
        <v>29684</v>
      </c>
      <c r="U343" s="985"/>
      <c r="V343" s="985">
        <v>23640</v>
      </c>
      <c r="W343" s="985">
        <v>3410</v>
      </c>
      <c r="X343" s="981"/>
    </row>
    <row r="344" spans="2:24">
      <c r="B344" s="621">
        <v>18</v>
      </c>
      <c r="C344" s="641" t="s">
        <v>34</v>
      </c>
      <c r="D344" s="845" t="s">
        <v>224</v>
      </c>
      <c r="E344" s="973">
        <f t="shared" si="36"/>
        <v>34580</v>
      </c>
      <c r="F344" s="973">
        <f t="shared" si="37"/>
        <v>0</v>
      </c>
      <c r="G344" s="979"/>
      <c r="H344" s="980"/>
      <c r="I344" s="980"/>
      <c r="J344" s="980"/>
      <c r="K344" s="980"/>
      <c r="L344" s="973">
        <f t="shared" si="38"/>
        <v>34580</v>
      </c>
      <c r="M344" s="981"/>
      <c r="N344" s="985"/>
      <c r="O344" s="985"/>
      <c r="P344" s="985"/>
      <c r="Q344" s="1016"/>
      <c r="R344" s="985"/>
      <c r="S344" s="985">
        <v>34580</v>
      </c>
      <c r="T344" s="985"/>
      <c r="U344" s="995"/>
      <c r="V344" s="985"/>
      <c r="W344" s="985"/>
      <c r="X344" s="981"/>
    </row>
    <row r="345" spans="2:24">
      <c r="B345" s="621">
        <v>19</v>
      </c>
      <c r="C345" s="641" t="s">
        <v>34</v>
      </c>
      <c r="D345" s="845" t="s">
        <v>494</v>
      </c>
      <c r="E345" s="973">
        <f t="shared" si="36"/>
        <v>58000</v>
      </c>
      <c r="F345" s="973">
        <f t="shared" si="37"/>
        <v>0</v>
      </c>
      <c r="G345" s="979"/>
      <c r="H345" s="980"/>
      <c r="I345" s="980"/>
      <c r="J345" s="980"/>
      <c r="K345" s="980"/>
      <c r="L345" s="973">
        <f t="shared" si="38"/>
        <v>58000</v>
      </c>
      <c r="M345" s="981"/>
      <c r="N345" s="985"/>
      <c r="O345" s="985"/>
      <c r="P345" s="985"/>
      <c r="Q345" s="1016"/>
      <c r="R345" s="985"/>
      <c r="S345" s="985"/>
      <c r="T345" s="985"/>
      <c r="U345" s="995">
        <v>58000</v>
      </c>
      <c r="V345" s="985"/>
      <c r="W345" s="985"/>
      <c r="X345" s="981"/>
    </row>
    <row r="346" spans="2:24">
      <c r="B346" s="621">
        <v>20</v>
      </c>
      <c r="C346" s="641" t="s">
        <v>34</v>
      </c>
      <c r="D346" s="845" t="s">
        <v>291</v>
      </c>
      <c r="E346" s="973">
        <f t="shared" si="36"/>
        <v>79778</v>
      </c>
      <c r="F346" s="973">
        <f t="shared" si="37"/>
        <v>0</v>
      </c>
      <c r="G346" s="979"/>
      <c r="H346" s="980"/>
      <c r="I346" s="980"/>
      <c r="J346" s="980"/>
      <c r="K346" s="980"/>
      <c r="L346" s="973">
        <f t="shared" si="38"/>
        <v>79778</v>
      </c>
      <c r="M346" s="981"/>
      <c r="N346" s="985"/>
      <c r="O346" s="985"/>
      <c r="P346" s="985"/>
      <c r="Q346" s="1016"/>
      <c r="R346" s="985"/>
      <c r="S346" s="985"/>
      <c r="T346" s="985"/>
      <c r="U346" s="995">
        <v>79778</v>
      </c>
      <c r="V346" s="985"/>
      <c r="W346" s="985"/>
      <c r="X346" s="981"/>
    </row>
    <row r="347" spans="2:24" ht="24">
      <c r="B347" s="621">
        <v>21</v>
      </c>
      <c r="C347" s="641" t="s">
        <v>34</v>
      </c>
      <c r="D347" s="845" t="s">
        <v>112</v>
      </c>
      <c r="E347" s="973">
        <f t="shared" si="36"/>
        <v>3340</v>
      </c>
      <c r="F347" s="973">
        <f t="shared" si="37"/>
        <v>0</v>
      </c>
      <c r="G347" s="979"/>
      <c r="H347" s="980"/>
      <c r="I347" s="980"/>
      <c r="J347" s="980"/>
      <c r="K347" s="980"/>
      <c r="L347" s="973">
        <f t="shared" si="38"/>
        <v>3340</v>
      </c>
      <c r="M347" s="979"/>
      <c r="N347" s="985"/>
      <c r="O347" s="995"/>
      <c r="P347" s="995"/>
      <c r="Q347" s="1016"/>
      <c r="R347" s="995">
        <v>3340</v>
      </c>
      <c r="S347" s="985"/>
      <c r="T347" s="995"/>
      <c r="U347" s="995"/>
      <c r="V347" s="995"/>
      <c r="W347" s="995"/>
      <c r="X347" s="979"/>
    </row>
    <row r="348" spans="2:24">
      <c r="B348" s="621">
        <v>22</v>
      </c>
      <c r="C348" s="641" t="s">
        <v>34</v>
      </c>
      <c r="D348" s="907" t="s">
        <v>495</v>
      </c>
      <c r="E348" s="973">
        <f t="shared" si="36"/>
        <v>11286</v>
      </c>
      <c r="F348" s="973">
        <f t="shared" si="37"/>
        <v>4550</v>
      </c>
      <c r="G348" s="979">
        <v>4550</v>
      </c>
      <c r="H348" s="980"/>
      <c r="I348" s="980"/>
      <c r="J348" s="980"/>
      <c r="K348" s="980"/>
      <c r="L348" s="973">
        <f t="shared" si="38"/>
        <v>6736</v>
      </c>
      <c r="M348" s="979"/>
      <c r="N348" s="979"/>
      <c r="O348" s="979"/>
      <c r="P348" s="979"/>
      <c r="Q348" s="979">
        <v>6736</v>
      </c>
      <c r="R348" s="979"/>
      <c r="S348" s="979"/>
      <c r="T348" s="979"/>
      <c r="U348" s="979"/>
      <c r="V348" s="979"/>
      <c r="W348" s="979"/>
      <c r="X348" s="979"/>
    </row>
    <row r="349" spans="2:24">
      <c r="B349" s="621">
        <v>23</v>
      </c>
      <c r="C349" s="641" t="s">
        <v>34</v>
      </c>
      <c r="D349" s="907" t="s">
        <v>496</v>
      </c>
      <c r="E349" s="973">
        <f t="shared" si="36"/>
        <v>50000</v>
      </c>
      <c r="F349" s="973">
        <f t="shared" si="37"/>
        <v>0</v>
      </c>
      <c r="G349" s="979"/>
      <c r="H349" s="980"/>
      <c r="I349" s="980"/>
      <c r="J349" s="980"/>
      <c r="K349" s="980"/>
      <c r="L349" s="973">
        <f t="shared" si="38"/>
        <v>50000</v>
      </c>
      <c r="M349" s="979"/>
      <c r="N349" s="979"/>
      <c r="O349" s="979"/>
      <c r="P349" s="979"/>
      <c r="Q349" s="979"/>
      <c r="R349" s="979"/>
      <c r="S349" s="979"/>
      <c r="T349" s="979"/>
      <c r="U349" s="979">
        <v>50000</v>
      </c>
      <c r="V349" s="979"/>
      <c r="W349" s="979"/>
      <c r="X349" s="979"/>
    </row>
    <row r="350" spans="2:24">
      <c r="B350" s="621">
        <v>24</v>
      </c>
      <c r="C350" s="641" t="s">
        <v>34</v>
      </c>
      <c r="D350" s="907" t="s">
        <v>497</v>
      </c>
      <c r="E350" s="973">
        <f t="shared" si="36"/>
        <v>59600</v>
      </c>
      <c r="F350" s="973">
        <f t="shared" si="37"/>
        <v>37200</v>
      </c>
      <c r="G350" s="979">
        <v>37200</v>
      </c>
      <c r="H350" s="980"/>
      <c r="I350" s="980"/>
      <c r="J350" s="980"/>
      <c r="K350" s="980"/>
      <c r="L350" s="973">
        <f t="shared" si="38"/>
        <v>22400</v>
      </c>
      <c r="M350" s="979"/>
      <c r="N350" s="979"/>
      <c r="O350" s="979"/>
      <c r="P350" s="979"/>
      <c r="Q350" s="979"/>
      <c r="R350" s="979"/>
      <c r="S350" s="979"/>
      <c r="T350" s="979"/>
      <c r="U350" s="979"/>
      <c r="V350" s="979"/>
      <c r="W350" s="979">
        <v>22400</v>
      </c>
      <c r="X350" s="979"/>
    </row>
    <row r="351" spans="2:24">
      <c r="B351" s="621">
        <v>25</v>
      </c>
      <c r="C351" s="641" t="s">
        <v>34</v>
      </c>
      <c r="D351" s="907" t="s">
        <v>498</v>
      </c>
      <c r="E351" s="973">
        <f t="shared" si="36"/>
        <v>191089.03999999998</v>
      </c>
      <c r="F351" s="973">
        <f t="shared" si="37"/>
        <v>81600</v>
      </c>
      <c r="G351" s="979">
        <v>81600</v>
      </c>
      <c r="H351" s="980"/>
      <c r="I351" s="980"/>
      <c r="J351" s="980"/>
      <c r="K351" s="980"/>
      <c r="L351" s="973">
        <f t="shared" si="38"/>
        <v>109489.04</v>
      </c>
      <c r="M351" s="979"/>
      <c r="N351" s="979">
        <v>4500</v>
      </c>
      <c r="O351" s="979"/>
      <c r="P351" s="979"/>
      <c r="Q351" s="979"/>
      <c r="R351" s="979">
        <f>4800+16640</f>
        <v>21440</v>
      </c>
      <c r="S351" s="979"/>
      <c r="T351" s="979"/>
      <c r="U351" s="979">
        <v>75389.039999999994</v>
      </c>
      <c r="V351" s="979"/>
      <c r="W351" s="979">
        <v>5760</v>
      </c>
      <c r="X351" s="979">
        <v>2400</v>
      </c>
    </row>
    <row r="352" spans="2:24" ht="60">
      <c r="B352" s="621">
        <v>26</v>
      </c>
      <c r="C352" s="641" t="s">
        <v>34</v>
      </c>
      <c r="D352" s="908" t="s">
        <v>703</v>
      </c>
      <c r="E352" s="973"/>
      <c r="F352" s="973"/>
      <c r="G352" s="979"/>
      <c r="H352" s="980"/>
      <c r="I352" s="980"/>
      <c r="J352" s="980"/>
      <c r="K352" s="980"/>
      <c r="L352" s="973"/>
      <c r="M352" s="979"/>
      <c r="N352" s="979"/>
      <c r="O352" s="979"/>
      <c r="P352" s="979"/>
      <c r="Q352" s="979"/>
      <c r="R352" s="979"/>
      <c r="S352" s="979"/>
      <c r="T352" s="979"/>
      <c r="U352" s="979"/>
      <c r="V352" s="979"/>
      <c r="W352" s="979"/>
      <c r="X352" s="979"/>
    </row>
    <row r="353" spans="1:24" ht="36">
      <c r="B353" s="621">
        <v>27</v>
      </c>
      <c r="C353" s="641" t="s">
        <v>34</v>
      </c>
      <c r="D353" s="908" t="s">
        <v>706</v>
      </c>
      <c r="E353" s="973"/>
      <c r="F353" s="973"/>
      <c r="G353" s="979"/>
      <c r="H353" s="980"/>
      <c r="I353" s="980"/>
      <c r="J353" s="980"/>
      <c r="K353" s="980"/>
      <c r="L353" s="973"/>
      <c r="M353" s="979"/>
      <c r="N353" s="979"/>
      <c r="O353" s="979"/>
      <c r="P353" s="979"/>
      <c r="Q353" s="979"/>
      <c r="R353" s="979"/>
      <c r="S353" s="979"/>
      <c r="T353" s="979"/>
      <c r="U353" s="979"/>
      <c r="V353" s="979"/>
      <c r="W353" s="979"/>
      <c r="X353" s="979"/>
    </row>
    <row r="354" spans="1:24" s="5" customFormat="1" ht="36">
      <c r="A354" s="5">
        <v>9</v>
      </c>
      <c r="B354" s="639">
        <v>9</v>
      </c>
      <c r="C354" s="640" t="s">
        <v>34</v>
      </c>
      <c r="D354" s="823" t="s">
        <v>27</v>
      </c>
      <c r="E354" s="973">
        <f t="shared" si="36"/>
        <v>2305067</v>
      </c>
      <c r="F354" s="973">
        <f t="shared" si="37"/>
        <v>923000</v>
      </c>
      <c r="G354" s="974">
        <f>G355+G374</f>
        <v>923000</v>
      </c>
      <c r="H354" s="975">
        <f>H355+H374</f>
        <v>0</v>
      </c>
      <c r="I354" s="975">
        <f>I355+I374</f>
        <v>0</v>
      </c>
      <c r="J354" s="975">
        <f>J355+J374</f>
        <v>0</v>
      </c>
      <c r="K354" s="975">
        <f>K355+K374</f>
        <v>0</v>
      </c>
      <c r="L354" s="973">
        <f t="shared" si="38"/>
        <v>1382067</v>
      </c>
      <c r="M354" s="974">
        <f t="shared" ref="M354:X354" si="40">M355+M374</f>
        <v>67020</v>
      </c>
      <c r="N354" s="974">
        <f t="shared" si="40"/>
        <v>25500</v>
      </c>
      <c r="O354" s="974">
        <f t="shared" si="40"/>
        <v>85000</v>
      </c>
      <c r="P354" s="974">
        <f t="shared" si="40"/>
        <v>34750</v>
      </c>
      <c r="Q354" s="974">
        <f t="shared" si="40"/>
        <v>64890</v>
      </c>
      <c r="R354" s="974">
        <f t="shared" si="40"/>
        <v>78675</v>
      </c>
      <c r="S354" s="974">
        <f t="shared" si="40"/>
        <v>316760</v>
      </c>
      <c r="T354" s="974">
        <f t="shared" si="40"/>
        <v>190398</v>
      </c>
      <c r="U354" s="974">
        <f t="shared" si="40"/>
        <v>241874</v>
      </c>
      <c r="V354" s="974">
        <f t="shared" si="40"/>
        <v>129660</v>
      </c>
      <c r="W354" s="974">
        <f t="shared" si="40"/>
        <v>81310</v>
      </c>
      <c r="X354" s="974">
        <f t="shared" si="40"/>
        <v>66230</v>
      </c>
    </row>
    <row r="355" spans="1:24" s="643" customFormat="1" ht="24">
      <c r="A355" s="643" t="s">
        <v>806</v>
      </c>
      <c r="B355" s="642" t="s">
        <v>259</v>
      </c>
      <c r="C355" s="640" t="s">
        <v>34</v>
      </c>
      <c r="D355" s="909" t="s">
        <v>129</v>
      </c>
      <c r="E355" s="973">
        <f t="shared" si="36"/>
        <v>1699007</v>
      </c>
      <c r="F355" s="973">
        <f t="shared" si="37"/>
        <v>466000</v>
      </c>
      <c r="G355" s="1016">
        <f>SUM(G356:G373)</f>
        <v>466000</v>
      </c>
      <c r="H355" s="1033">
        <f>SUM(H356:H373)</f>
        <v>0</v>
      </c>
      <c r="I355" s="1033">
        <f>SUM(I356:I373)</f>
        <v>0</v>
      </c>
      <c r="J355" s="1033">
        <f>SUM(J356:J373)</f>
        <v>0</v>
      </c>
      <c r="K355" s="1033">
        <f>SUM(K356:K373)</f>
        <v>0</v>
      </c>
      <c r="L355" s="973">
        <f t="shared" si="38"/>
        <v>1233007</v>
      </c>
      <c r="M355" s="1016">
        <f t="shared" ref="M355:X355" si="41">SUM(M356:M373)</f>
        <v>56920</v>
      </c>
      <c r="N355" s="1016">
        <f t="shared" si="41"/>
        <v>22500</v>
      </c>
      <c r="O355" s="1016">
        <f t="shared" si="41"/>
        <v>82000</v>
      </c>
      <c r="P355" s="1016">
        <f t="shared" si="41"/>
        <v>21300</v>
      </c>
      <c r="Q355" s="1016">
        <f t="shared" si="41"/>
        <v>61390</v>
      </c>
      <c r="R355" s="1016">
        <f t="shared" si="41"/>
        <v>57145</v>
      </c>
      <c r="S355" s="1016">
        <f t="shared" si="41"/>
        <v>301740</v>
      </c>
      <c r="T355" s="1016">
        <f t="shared" si="41"/>
        <v>177478</v>
      </c>
      <c r="U355" s="1016">
        <f t="shared" si="41"/>
        <v>227714</v>
      </c>
      <c r="V355" s="1016">
        <f t="shared" si="41"/>
        <v>103460</v>
      </c>
      <c r="W355" s="1016">
        <f t="shared" si="41"/>
        <v>74310</v>
      </c>
      <c r="X355" s="1016">
        <f t="shared" si="41"/>
        <v>47050</v>
      </c>
    </row>
    <row r="356" spans="1:24" s="644" customFormat="1" ht="48">
      <c r="B356" s="610">
        <v>1</v>
      </c>
      <c r="C356" s="641" t="s">
        <v>34</v>
      </c>
      <c r="D356" s="910" t="s">
        <v>704</v>
      </c>
      <c r="E356" s="973">
        <f t="shared" si="36"/>
        <v>325500</v>
      </c>
      <c r="F356" s="973">
        <f t="shared" si="37"/>
        <v>100000</v>
      </c>
      <c r="G356" s="985">
        <v>100000</v>
      </c>
      <c r="H356" s="980"/>
      <c r="I356" s="980"/>
      <c r="J356" s="980"/>
      <c r="K356" s="980"/>
      <c r="L356" s="973">
        <f t="shared" si="38"/>
        <v>225500</v>
      </c>
      <c r="M356" s="981"/>
      <c r="N356" s="1016"/>
      <c r="O356" s="985"/>
      <c r="P356" s="985"/>
      <c r="Q356" s="995"/>
      <c r="R356" s="985"/>
      <c r="S356" s="986">
        <v>133800</v>
      </c>
      <c r="T356" s="985">
        <v>43800</v>
      </c>
      <c r="U356" s="981">
        <v>28500</v>
      </c>
      <c r="V356" s="985">
        <v>14000</v>
      </c>
      <c r="W356" s="985"/>
      <c r="X356" s="981">
        <v>5400</v>
      </c>
    </row>
    <row r="357" spans="1:24" s="644" customFormat="1" ht="24">
      <c r="B357" s="610">
        <v>2</v>
      </c>
      <c r="C357" s="641" t="s">
        <v>34</v>
      </c>
      <c r="D357" s="911" t="s">
        <v>113</v>
      </c>
      <c r="E357" s="973">
        <f t="shared" si="36"/>
        <v>52178</v>
      </c>
      <c r="F357" s="973">
        <f t="shared" si="37"/>
        <v>0</v>
      </c>
      <c r="G357" s="985"/>
      <c r="H357" s="980"/>
      <c r="I357" s="980"/>
      <c r="J357" s="980"/>
      <c r="K357" s="980"/>
      <c r="L357" s="973">
        <f t="shared" si="38"/>
        <v>52178</v>
      </c>
      <c r="M357" s="981">
        <v>1400</v>
      </c>
      <c r="N357" s="985">
        <v>8000</v>
      </c>
      <c r="O357" s="985"/>
      <c r="P357" s="985"/>
      <c r="Q357" s="995"/>
      <c r="R357" s="985">
        <v>10630</v>
      </c>
      <c r="S357" s="985"/>
      <c r="T357" s="985">
        <v>29648</v>
      </c>
      <c r="U357" s="981"/>
      <c r="V357" s="985"/>
      <c r="W357" s="985">
        <v>2500</v>
      </c>
      <c r="X357" s="981"/>
    </row>
    <row r="358" spans="1:24" s="644" customFormat="1" ht="24">
      <c r="B358" s="610">
        <v>6</v>
      </c>
      <c r="C358" s="641" t="s">
        <v>34</v>
      </c>
      <c r="D358" s="911" t="s">
        <v>117</v>
      </c>
      <c r="E358" s="973">
        <f t="shared" si="36"/>
        <v>216800</v>
      </c>
      <c r="F358" s="973">
        <f t="shared" si="37"/>
        <v>0</v>
      </c>
      <c r="G358" s="985"/>
      <c r="H358" s="980"/>
      <c r="I358" s="980"/>
      <c r="J358" s="980"/>
      <c r="K358" s="980"/>
      <c r="L358" s="973">
        <f t="shared" si="38"/>
        <v>216800</v>
      </c>
      <c r="M358" s="981">
        <v>14400</v>
      </c>
      <c r="N358" s="985"/>
      <c r="O358" s="985"/>
      <c r="P358" s="985">
        <v>9000</v>
      </c>
      <c r="Q358" s="985">
        <v>14400</v>
      </c>
      <c r="R358" s="985"/>
      <c r="S358" s="985"/>
      <c r="T358" s="985">
        <v>27900</v>
      </c>
      <c r="U358" s="981">
        <v>81200</v>
      </c>
      <c r="V358" s="985">
        <v>45000</v>
      </c>
      <c r="W358" s="985">
        <v>16800</v>
      </c>
      <c r="X358" s="981">
        <v>8100</v>
      </c>
    </row>
    <row r="359" spans="1:24" s="644" customFormat="1" ht="36">
      <c r="B359" s="610">
        <v>7</v>
      </c>
      <c r="C359" s="641" t="s">
        <v>34</v>
      </c>
      <c r="D359" s="911" t="s">
        <v>118</v>
      </c>
      <c r="E359" s="973"/>
      <c r="F359" s="973"/>
      <c r="G359" s="985"/>
      <c r="H359" s="980"/>
      <c r="I359" s="980"/>
      <c r="J359" s="980"/>
      <c r="K359" s="980"/>
      <c r="L359" s="973"/>
      <c r="M359" s="981"/>
      <c r="N359" s="985"/>
      <c r="O359" s="985"/>
      <c r="P359" s="985"/>
      <c r="Q359" s="995"/>
      <c r="R359" s="985"/>
      <c r="S359" s="985"/>
      <c r="T359" s="985"/>
      <c r="U359" s="981"/>
      <c r="V359" s="985"/>
      <c r="W359" s="985"/>
      <c r="X359" s="981"/>
    </row>
    <row r="360" spans="1:24" s="644" customFormat="1" ht="36">
      <c r="B360" s="610">
        <v>8</v>
      </c>
      <c r="C360" s="641" t="s">
        <v>34</v>
      </c>
      <c r="D360" s="911" t="s">
        <v>119</v>
      </c>
      <c r="E360" s="973"/>
      <c r="F360" s="973"/>
      <c r="G360" s="985"/>
      <c r="H360" s="980"/>
      <c r="I360" s="980"/>
      <c r="J360" s="980"/>
      <c r="K360" s="980"/>
      <c r="L360" s="973"/>
      <c r="M360" s="981"/>
      <c r="N360" s="985"/>
      <c r="O360" s="985"/>
      <c r="P360" s="985"/>
      <c r="Q360" s="995"/>
      <c r="R360" s="985"/>
      <c r="S360" s="985"/>
      <c r="T360" s="985"/>
      <c r="U360" s="981"/>
      <c r="V360" s="985"/>
      <c r="W360" s="985"/>
      <c r="X360" s="981"/>
    </row>
    <row r="361" spans="1:24" s="644" customFormat="1" ht="24">
      <c r="B361" s="610">
        <v>9</v>
      </c>
      <c r="C361" s="641" t="s">
        <v>34</v>
      </c>
      <c r="D361" s="911" t="s">
        <v>120</v>
      </c>
      <c r="E361" s="973"/>
      <c r="F361" s="973"/>
      <c r="G361" s="985"/>
      <c r="H361" s="980"/>
      <c r="I361" s="980"/>
      <c r="J361" s="980"/>
      <c r="K361" s="980"/>
      <c r="L361" s="973"/>
      <c r="M361" s="981"/>
      <c r="N361" s="985"/>
      <c r="O361" s="985"/>
      <c r="P361" s="985"/>
      <c r="Q361" s="995"/>
      <c r="R361" s="985"/>
      <c r="S361" s="985"/>
      <c r="T361" s="985"/>
      <c r="U361" s="981"/>
      <c r="V361" s="985"/>
      <c r="W361" s="985"/>
      <c r="X361" s="981"/>
    </row>
    <row r="362" spans="1:24" s="644" customFormat="1">
      <c r="B362" s="610">
        <v>11</v>
      </c>
      <c r="C362" s="641" t="s">
        <v>34</v>
      </c>
      <c r="D362" s="912" t="s">
        <v>707</v>
      </c>
      <c r="E362" s="973">
        <f t="shared" si="36"/>
        <v>270210</v>
      </c>
      <c r="F362" s="973">
        <f t="shared" si="37"/>
        <v>180000</v>
      </c>
      <c r="G362" s="985">
        <v>180000</v>
      </c>
      <c r="H362" s="980"/>
      <c r="I362" s="980"/>
      <c r="J362" s="980"/>
      <c r="K362" s="980"/>
      <c r="L362" s="973">
        <f t="shared" si="38"/>
        <v>90210</v>
      </c>
      <c r="M362" s="981">
        <v>1920</v>
      </c>
      <c r="N362" s="985">
        <v>3500</v>
      </c>
      <c r="O362" s="985">
        <v>1600</v>
      </c>
      <c r="P362" s="985">
        <v>4800</v>
      </c>
      <c r="Q362" s="995">
        <v>9296</v>
      </c>
      <c r="R362" s="985">
        <v>1280</v>
      </c>
      <c r="S362" s="985">
        <v>7600</v>
      </c>
      <c r="T362" s="985">
        <v>4000</v>
      </c>
      <c r="U362" s="981">
        <v>46254</v>
      </c>
      <c r="V362" s="985">
        <v>4000</v>
      </c>
      <c r="W362" s="985">
        <v>2520</v>
      </c>
      <c r="X362" s="981">
        <v>3440</v>
      </c>
    </row>
    <row r="363" spans="1:24" s="644" customFormat="1" ht="60">
      <c r="B363" s="610">
        <v>13</v>
      </c>
      <c r="C363" s="641" t="s">
        <v>34</v>
      </c>
      <c r="D363" s="849" t="s">
        <v>122</v>
      </c>
      <c r="E363" s="973">
        <f t="shared" si="36"/>
        <v>17880</v>
      </c>
      <c r="F363" s="973">
        <f t="shared" si="37"/>
        <v>0</v>
      </c>
      <c r="G363" s="985"/>
      <c r="H363" s="980"/>
      <c r="I363" s="980"/>
      <c r="J363" s="980"/>
      <c r="K363" s="980"/>
      <c r="L363" s="973">
        <f t="shared" si="38"/>
        <v>17880</v>
      </c>
      <c r="M363" s="981">
        <v>0</v>
      </c>
      <c r="N363" s="985"/>
      <c r="O363" s="985"/>
      <c r="P363" s="985"/>
      <c r="Q363" s="995"/>
      <c r="R363" s="985">
        <v>7200</v>
      </c>
      <c r="S363" s="985"/>
      <c r="T363" s="985">
        <v>5280</v>
      </c>
      <c r="U363" s="981">
        <v>0</v>
      </c>
      <c r="V363" s="985">
        <v>0</v>
      </c>
      <c r="W363" s="985">
        <v>5400</v>
      </c>
      <c r="X363" s="981"/>
    </row>
    <row r="364" spans="1:24" s="644" customFormat="1" ht="36">
      <c r="B364" s="610">
        <v>14</v>
      </c>
      <c r="C364" s="641" t="s">
        <v>34</v>
      </c>
      <c r="D364" s="849" t="s">
        <v>407</v>
      </c>
      <c r="E364" s="973"/>
      <c r="F364" s="973"/>
      <c r="G364" s="985"/>
      <c r="H364" s="980"/>
      <c r="I364" s="980"/>
      <c r="J364" s="980"/>
      <c r="K364" s="980"/>
      <c r="L364" s="973"/>
      <c r="M364" s="981"/>
      <c r="N364" s="985"/>
      <c r="O364" s="985"/>
      <c r="P364" s="985"/>
      <c r="Q364" s="995"/>
      <c r="R364" s="985"/>
      <c r="S364" s="985"/>
      <c r="T364" s="985"/>
      <c r="U364" s="981"/>
      <c r="V364" s="985"/>
      <c r="W364" s="985"/>
      <c r="X364" s="981"/>
    </row>
    <row r="365" spans="1:24" s="644" customFormat="1">
      <c r="B365" s="610">
        <v>16</v>
      </c>
      <c r="C365" s="641" t="s">
        <v>34</v>
      </c>
      <c r="D365" s="847" t="s">
        <v>123</v>
      </c>
      <c r="E365" s="973">
        <f t="shared" si="36"/>
        <v>116644</v>
      </c>
      <c r="F365" s="973">
        <f t="shared" si="37"/>
        <v>20000</v>
      </c>
      <c r="G365" s="985">
        <v>20000</v>
      </c>
      <c r="H365" s="980"/>
      <c r="I365" s="980"/>
      <c r="J365" s="980"/>
      <c r="K365" s="980"/>
      <c r="L365" s="973">
        <f t="shared" si="38"/>
        <v>96644</v>
      </c>
      <c r="M365" s="981">
        <v>3800</v>
      </c>
      <c r="N365" s="985"/>
      <c r="O365" s="985"/>
      <c r="P365" s="985"/>
      <c r="Q365" s="985">
        <v>32694</v>
      </c>
      <c r="R365" s="985">
        <v>5900</v>
      </c>
      <c r="S365" s="985">
        <v>30240</v>
      </c>
      <c r="T365" s="985"/>
      <c r="U365" s="981">
        <v>2760</v>
      </c>
      <c r="V365" s="985">
        <v>5960</v>
      </c>
      <c r="W365" s="985">
        <v>6690</v>
      </c>
      <c r="X365" s="981">
        <v>8600</v>
      </c>
    </row>
    <row r="366" spans="1:24" s="644" customFormat="1">
      <c r="B366" s="610">
        <v>19</v>
      </c>
      <c r="C366" s="641" t="s">
        <v>34</v>
      </c>
      <c r="D366" s="847" t="s">
        <v>124</v>
      </c>
      <c r="E366" s="973">
        <f t="shared" si="36"/>
        <v>348910</v>
      </c>
      <c r="F366" s="973">
        <f t="shared" si="37"/>
        <v>0</v>
      </c>
      <c r="G366" s="985"/>
      <c r="H366" s="980"/>
      <c r="I366" s="980"/>
      <c r="J366" s="980"/>
      <c r="K366" s="980"/>
      <c r="L366" s="973">
        <f t="shared" si="38"/>
        <v>348910</v>
      </c>
      <c r="M366" s="981">
        <v>16000</v>
      </c>
      <c r="N366" s="985">
        <v>11000</v>
      </c>
      <c r="O366" s="985">
        <v>40000</v>
      </c>
      <c r="P366" s="985">
        <v>7500</v>
      </c>
      <c r="Q366" s="995"/>
      <c r="R366" s="985">
        <v>30000</v>
      </c>
      <c r="S366" s="985">
        <v>100000</v>
      </c>
      <c r="T366" s="985">
        <v>56500</v>
      </c>
      <c r="U366" s="981">
        <v>32000</v>
      </c>
      <c r="V366" s="985">
        <v>16000</v>
      </c>
      <c r="W366" s="985">
        <v>23400</v>
      </c>
      <c r="X366" s="981">
        <v>16510</v>
      </c>
    </row>
    <row r="367" spans="1:24" s="644" customFormat="1" ht="48">
      <c r="B367" s="610">
        <v>21</v>
      </c>
      <c r="C367" s="641" t="s">
        <v>34</v>
      </c>
      <c r="D367" s="849" t="s">
        <v>408</v>
      </c>
      <c r="E367" s="973">
        <f t="shared" si="36"/>
        <v>106000</v>
      </c>
      <c r="F367" s="973">
        <f t="shared" si="37"/>
        <v>106000</v>
      </c>
      <c r="G367" s="985">
        <v>106000</v>
      </c>
      <c r="H367" s="980"/>
      <c r="I367" s="980"/>
      <c r="J367" s="980"/>
      <c r="K367" s="980"/>
      <c r="L367" s="973">
        <f t="shared" si="38"/>
        <v>0</v>
      </c>
      <c r="M367" s="981"/>
      <c r="N367" s="985">
        <v>0</v>
      </c>
      <c r="O367" s="985">
        <v>0</v>
      </c>
      <c r="P367" s="985">
        <v>0</v>
      </c>
      <c r="Q367" s="995">
        <v>0</v>
      </c>
      <c r="R367" s="985">
        <v>0</v>
      </c>
      <c r="S367" s="985">
        <v>0</v>
      </c>
      <c r="T367" s="985">
        <v>0</v>
      </c>
      <c r="U367" s="981">
        <v>0</v>
      </c>
      <c r="V367" s="985">
        <v>0</v>
      </c>
      <c r="W367" s="985">
        <v>0</v>
      </c>
      <c r="X367" s="981">
        <v>0</v>
      </c>
    </row>
    <row r="368" spans="1:24" s="644" customFormat="1" ht="36">
      <c r="B368" s="610">
        <v>22</v>
      </c>
      <c r="C368" s="641" t="s">
        <v>34</v>
      </c>
      <c r="D368" s="849" t="s">
        <v>409</v>
      </c>
      <c r="E368" s="973">
        <f t="shared" si="36"/>
        <v>44300</v>
      </c>
      <c r="F368" s="973">
        <f t="shared" si="37"/>
        <v>20000</v>
      </c>
      <c r="G368" s="985">
        <v>20000</v>
      </c>
      <c r="H368" s="980"/>
      <c r="I368" s="980"/>
      <c r="J368" s="980"/>
      <c r="K368" s="980"/>
      <c r="L368" s="973">
        <f t="shared" si="38"/>
        <v>24300</v>
      </c>
      <c r="M368" s="981">
        <v>0</v>
      </c>
      <c r="N368" s="985"/>
      <c r="O368" s="985">
        <v>7200</v>
      </c>
      <c r="P368" s="985"/>
      <c r="Q368" s="995"/>
      <c r="R368" s="985"/>
      <c r="S368" s="985">
        <v>17100</v>
      </c>
      <c r="T368" s="985"/>
      <c r="U368" s="981">
        <v>0</v>
      </c>
      <c r="V368" s="985">
        <v>0</v>
      </c>
      <c r="W368" s="986"/>
      <c r="X368" s="981"/>
    </row>
    <row r="369" spans="1:24" s="644" customFormat="1" ht="24">
      <c r="B369" s="610">
        <v>23</v>
      </c>
      <c r="C369" s="641" t="s">
        <v>34</v>
      </c>
      <c r="D369" s="913" t="s">
        <v>215</v>
      </c>
      <c r="E369" s="973">
        <f t="shared" si="36"/>
        <v>81485</v>
      </c>
      <c r="F369" s="973">
        <f t="shared" si="37"/>
        <v>0</v>
      </c>
      <c r="G369" s="985"/>
      <c r="H369" s="980"/>
      <c r="I369" s="980"/>
      <c r="J369" s="980"/>
      <c r="K369" s="980"/>
      <c r="L369" s="973">
        <f t="shared" si="38"/>
        <v>81485</v>
      </c>
      <c r="M369" s="981">
        <v>16000</v>
      </c>
      <c r="N369" s="985"/>
      <c r="O369" s="985"/>
      <c r="P369" s="985"/>
      <c r="Q369" s="985">
        <v>5000</v>
      </c>
      <c r="R369" s="985">
        <v>2135</v>
      </c>
      <c r="S369" s="985">
        <v>9000</v>
      </c>
      <c r="T369" s="985">
        <v>7850</v>
      </c>
      <c r="U369" s="981">
        <v>20000</v>
      </c>
      <c r="V369" s="985">
        <v>10000</v>
      </c>
      <c r="W369" s="985">
        <v>11500</v>
      </c>
      <c r="X369" s="981"/>
    </row>
    <row r="370" spans="1:24" s="644" customFormat="1" ht="60">
      <c r="B370" s="610">
        <v>24</v>
      </c>
      <c r="C370" s="641" t="s">
        <v>34</v>
      </c>
      <c r="D370" s="846" t="s">
        <v>708</v>
      </c>
      <c r="E370" s="973">
        <f t="shared" si="36"/>
        <v>114400</v>
      </c>
      <c r="F370" s="973">
        <f t="shared" si="37"/>
        <v>40000</v>
      </c>
      <c r="G370" s="985">
        <v>40000</v>
      </c>
      <c r="H370" s="980"/>
      <c r="I370" s="980"/>
      <c r="J370" s="980"/>
      <c r="K370" s="980"/>
      <c r="L370" s="973">
        <f t="shared" si="38"/>
        <v>74400</v>
      </c>
      <c r="M370" s="981">
        <v>3400</v>
      </c>
      <c r="N370" s="985"/>
      <c r="O370" s="985">
        <v>33200</v>
      </c>
      <c r="P370" s="985"/>
      <c r="Q370" s="985"/>
      <c r="R370" s="985"/>
      <c r="S370" s="985">
        <v>4000</v>
      </c>
      <c r="T370" s="985">
        <v>2500</v>
      </c>
      <c r="U370" s="981">
        <v>17000</v>
      </c>
      <c r="V370" s="985">
        <v>8500</v>
      </c>
      <c r="W370" s="985">
        <v>800</v>
      </c>
      <c r="X370" s="981">
        <v>5000</v>
      </c>
    </row>
    <row r="371" spans="1:24" s="644" customFormat="1" ht="36">
      <c r="B371" s="610">
        <v>25</v>
      </c>
      <c r="C371" s="641" t="s">
        <v>34</v>
      </c>
      <c r="D371" s="818" t="s">
        <v>709</v>
      </c>
      <c r="E371" s="973"/>
      <c r="F371" s="973"/>
      <c r="G371" s="985"/>
      <c r="H371" s="980"/>
      <c r="I371" s="980"/>
      <c r="J371" s="980"/>
      <c r="K371" s="980"/>
      <c r="L371" s="973"/>
      <c r="M371" s="981"/>
      <c r="N371" s="985"/>
      <c r="O371" s="985"/>
      <c r="P371" s="985"/>
      <c r="Q371" s="985"/>
      <c r="R371" s="985"/>
      <c r="S371" s="985"/>
      <c r="T371" s="985"/>
      <c r="U371" s="981"/>
      <c r="V371" s="985"/>
      <c r="W371" s="985"/>
      <c r="X371" s="981"/>
    </row>
    <row r="372" spans="1:24" s="644" customFormat="1">
      <c r="B372" s="610">
        <v>26</v>
      </c>
      <c r="C372" s="641" t="s">
        <v>34</v>
      </c>
      <c r="D372" s="819" t="s">
        <v>292</v>
      </c>
      <c r="E372" s="973">
        <f t="shared" si="36"/>
        <v>4000</v>
      </c>
      <c r="F372" s="973">
        <f t="shared" si="37"/>
        <v>0</v>
      </c>
      <c r="G372" s="985"/>
      <c r="H372" s="980"/>
      <c r="I372" s="980"/>
      <c r="J372" s="980"/>
      <c r="K372" s="980"/>
      <c r="L372" s="973">
        <f t="shared" si="38"/>
        <v>4000</v>
      </c>
      <c r="M372" s="981"/>
      <c r="N372" s="985"/>
      <c r="O372" s="985"/>
      <c r="P372" s="985"/>
      <c r="Q372" s="985"/>
      <c r="R372" s="985"/>
      <c r="S372" s="985"/>
      <c r="T372" s="985"/>
      <c r="U372" s="981">
        <v>0</v>
      </c>
      <c r="V372" s="985"/>
      <c r="W372" s="985">
        <v>4000</v>
      </c>
      <c r="X372" s="981"/>
    </row>
    <row r="373" spans="1:24" s="644" customFormat="1">
      <c r="B373" s="610">
        <v>27</v>
      </c>
      <c r="C373" s="641" t="s">
        <v>34</v>
      </c>
      <c r="D373" s="819" t="s">
        <v>291</v>
      </c>
      <c r="E373" s="973">
        <f t="shared" si="36"/>
        <v>700</v>
      </c>
      <c r="F373" s="973">
        <f t="shared" si="37"/>
        <v>0</v>
      </c>
      <c r="G373" s="985"/>
      <c r="H373" s="980"/>
      <c r="I373" s="980"/>
      <c r="J373" s="980"/>
      <c r="K373" s="980"/>
      <c r="L373" s="973">
        <f t="shared" si="38"/>
        <v>700</v>
      </c>
      <c r="M373" s="981"/>
      <c r="N373" s="985"/>
      <c r="O373" s="985"/>
      <c r="P373" s="985"/>
      <c r="Q373" s="985"/>
      <c r="R373" s="985"/>
      <c r="S373" s="985"/>
      <c r="T373" s="985"/>
      <c r="U373" s="981">
        <v>0</v>
      </c>
      <c r="V373" s="985"/>
      <c r="W373" s="985">
        <v>700</v>
      </c>
      <c r="X373" s="981"/>
    </row>
    <row r="374" spans="1:24" s="644" customFormat="1" ht="24">
      <c r="A374" s="644" t="s">
        <v>807</v>
      </c>
      <c r="B374" s="645" t="s">
        <v>260</v>
      </c>
      <c r="C374" s="640" t="s">
        <v>34</v>
      </c>
      <c r="D374" s="914" t="s">
        <v>130</v>
      </c>
      <c r="E374" s="973">
        <f t="shared" si="36"/>
        <v>606060</v>
      </c>
      <c r="F374" s="973">
        <f t="shared" si="37"/>
        <v>457000</v>
      </c>
      <c r="G374" s="1034">
        <f>SUM(G375:G379)</f>
        <v>457000</v>
      </c>
      <c r="H374" s="1035">
        <f t="shared" ref="H374:X374" si="42">SUM(H375:H379)</f>
        <v>0</v>
      </c>
      <c r="I374" s="1035">
        <f t="shared" si="42"/>
        <v>0</v>
      </c>
      <c r="J374" s="1035">
        <f t="shared" si="42"/>
        <v>0</v>
      </c>
      <c r="K374" s="1035">
        <f t="shared" si="42"/>
        <v>0</v>
      </c>
      <c r="L374" s="973">
        <f t="shared" si="38"/>
        <v>149060</v>
      </c>
      <c r="M374" s="1034">
        <f t="shared" si="42"/>
        <v>10100</v>
      </c>
      <c r="N374" s="1034">
        <f t="shared" si="42"/>
        <v>3000</v>
      </c>
      <c r="O374" s="1034">
        <f t="shared" si="42"/>
        <v>3000</v>
      </c>
      <c r="P374" s="1034">
        <f t="shared" si="42"/>
        <v>13450</v>
      </c>
      <c r="Q374" s="1034">
        <f t="shared" si="42"/>
        <v>3500</v>
      </c>
      <c r="R374" s="1034">
        <f t="shared" si="42"/>
        <v>21530</v>
      </c>
      <c r="S374" s="1034">
        <f t="shared" si="42"/>
        <v>15020</v>
      </c>
      <c r="T374" s="1034">
        <f t="shared" si="42"/>
        <v>12920</v>
      </c>
      <c r="U374" s="1034">
        <f t="shared" si="42"/>
        <v>14160</v>
      </c>
      <c r="V374" s="1034">
        <f t="shared" si="42"/>
        <v>26200</v>
      </c>
      <c r="W374" s="1034">
        <f t="shared" si="42"/>
        <v>7000</v>
      </c>
      <c r="X374" s="1034">
        <f t="shared" si="42"/>
        <v>19180</v>
      </c>
    </row>
    <row r="375" spans="1:24" s="644" customFormat="1" ht="36">
      <c r="B375" s="610">
        <v>1</v>
      </c>
      <c r="C375" s="641" t="s">
        <v>34</v>
      </c>
      <c r="D375" s="915" t="s">
        <v>125</v>
      </c>
      <c r="E375" s="973">
        <f t="shared" si="36"/>
        <v>119000</v>
      </c>
      <c r="F375" s="973">
        <f t="shared" si="37"/>
        <v>119000</v>
      </c>
      <c r="G375" s="985">
        <v>119000</v>
      </c>
      <c r="H375" s="980"/>
      <c r="I375" s="980"/>
      <c r="J375" s="980"/>
      <c r="K375" s="980"/>
      <c r="L375" s="973">
        <f t="shared" si="38"/>
        <v>0</v>
      </c>
      <c r="M375" s="981"/>
      <c r="N375" s="985"/>
      <c r="O375" s="979"/>
      <c r="P375" s="985"/>
      <c r="Q375" s="995"/>
      <c r="R375" s="985"/>
      <c r="S375" s="985"/>
      <c r="T375" s="985"/>
      <c r="U375" s="981"/>
      <c r="V375" s="985"/>
      <c r="W375" s="985"/>
      <c r="X375" s="981"/>
    </row>
    <row r="376" spans="1:24" s="644" customFormat="1" ht="24">
      <c r="B376" s="610">
        <v>3</v>
      </c>
      <c r="C376" s="641" t="s">
        <v>34</v>
      </c>
      <c r="D376" s="916" t="s">
        <v>126</v>
      </c>
      <c r="E376" s="973">
        <f t="shared" si="36"/>
        <v>268000</v>
      </c>
      <c r="F376" s="973">
        <f t="shared" si="37"/>
        <v>268000</v>
      </c>
      <c r="G376" s="985">
        <v>268000</v>
      </c>
      <c r="H376" s="980"/>
      <c r="I376" s="980"/>
      <c r="J376" s="980"/>
      <c r="K376" s="980"/>
      <c r="L376" s="973">
        <f t="shared" si="38"/>
        <v>0</v>
      </c>
      <c r="M376" s="981">
        <v>0</v>
      </c>
      <c r="N376" s="985">
        <v>0</v>
      </c>
      <c r="O376" s="979">
        <v>0</v>
      </c>
      <c r="P376" s="985">
        <v>0</v>
      </c>
      <c r="Q376" s="995">
        <v>0</v>
      </c>
      <c r="R376" s="985">
        <v>0</v>
      </c>
      <c r="S376" s="985"/>
      <c r="T376" s="985">
        <v>0</v>
      </c>
      <c r="U376" s="981">
        <v>0</v>
      </c>
      <c r="V376" s="985">
        <v>0</v>
      </c>
      <c r="W376" s="985">
        <v>0</v>
      </c>
      <c r="X376" s="981">
        <v>0</v>
      </c>
    </row>
    <row r="377" spans="1:24" s="644" customFormat="1" ht="24">
      <c r="B377" s="610">
        <v>4</v>
      </c>
      <c r="C377" s="641" t="s">
        <v>34</v>
      </c>
      <c r="D377" s="915" t="s">
        <v>127</v>
      </c>
      <c r="E377" s="973">
        <f t="shared" si="36"/>
        <v>116950</v>
      </c>
      <c r="F377" s="973">
        <f t="shared" si="37"/>
        <v>50000</v>
      </c>
      <c r="G377" s="985">
        <v>50000</v>
      </c>
      <c r="H377" s="980"/>
      <c r="I377" s="980"/>
      <c r="J377" s="980"/>
      <c r="K377" s="980"/>
      <c r="L377" s="973">
        <f t="shared" si="38"/>
        <v>66950</v>
      </c>
      <c r="M377" s="981"/>
      <c r="N377" s="985"/>
      <c r="O377" s="979"/>
      <c r="P377" s="985">
        <v>9950</v>
      </c>
      <c r="Q377" s="995"/>
      <c r="R377" s="985">
        <v>5900</v>
      </c>
      <c r="S377" s="985">
        <v>6720</v>
      </c>
      <c r="T377" s="985">
        <v>3720</v>
      </c>
      <c r="U377" s="981">
        <v>7400</v>
      </c>
      <c r="V377" s="985">
        <v>18480</v>
      </c>
      <c r="W377" s="985">
        <v>1500</v>
      </c>
      <c r="X377" s="981">
        <v>13280</v>
      </c>
    </row>
    <row r="378" spans="1:24" s="644" customFormat="1" ht="24">
      <c r="B378" s="610">
        <v>5</v>
      </c>
      <c r="C378" s="641" t="s">
        <v>34</v>
      </c>
      <c r="D378" s="917" t="s">
        <v>128</v>
      </c>
      <c r="E378" s="973">
        <f t="shared" si="36"/>
        <v>39610</v>
      </c>
      <c r="F378" s="973">
        <f t="shared" si="37"/>
        <v>0</v>
      </c>
      <c r="G378" s="985"/>
      <c r="H378" s="980"/>
      <c r="I378" s="980"/>
      <c r="J378" s="980"/>
      <c r="K378" s="980"/>
      <c r="L378" s="973">
        <f t="shared" si="38"/>
        <v>39610</v>
      </c>
      <c r="M378" s="981">
        <v>6100</v>
      </c>
      <c r="N378" s="985"/>
      <c r="O378" s="979"/>
      <c r="P378" s="985"/>
      <c r="Q378" s="995"/>
      <c r="R378" s="985">
        <v>10630</v>
      </c>
      <c r="S378" s="985">
        <v>4800</v>
      </c>
      <c r="T378" s="985">
        <v>5200</v>
      </c>
      <c r="U378" s="981">
        <v>2760</v>
      </c>
      <c r="V378" s="985">
        <v>4720</v>
      </c>
      <c r="W378" s="985">
        <v>2500</v>
      </c>
      <c r="X378" s="981">
        <v>2900</v>
      </c>
    </row>
    <row r="379" spans="1:24" s="644" customFormat="1" ht="24">
      <c r="B379" s="610">
        <v>6</v>
      </c>
      <c r="C379" s="641" t="s">
        <v>34</v>
      </c>
      <c r="D379" s="819" t="s">
        <v>412</v>
      </c>
      <c r="E379" s="973">
        <f t="shared" si="36"/>
        <v>62500</v>
      </c>
      <c r="F379" s="973">
        <f t="shared" si="37"/>
        <v>20000</v>
      </c>
      <c r="G379" s="985">
        <v>20000</v>
      </c>
      <c r="H379" s="980"/>
      <c r="I379" s="980"/>
      <c r="J379" s="980"/>
      <c r="K379" s="980"/>
      <c r="L379" s="973">
        <f t="shared" si="38"/>
        <v>42500</v>
      </c>
      <c r="M379" s="981">
        <v>4000</v>
      </c>
      <c r="N379" s="985">
        <v>3000</v>
      </c>
      <c r="O379" s="979">
        <v>3000</v>
      </c>
      <c r="P379" s="985">
        <v>3500</v>
      </c>
      <c r="Q379" s="995">
        <v>3500</v>
      </c>
      <c r="R379" s="985">
        <v>5000</v>
      </c>
      <c r="S379" s="985">
        <v>3500</v>
      </c>
      <c r="T379" s="985">
        <v>4000</v>
      </c>
      <c r="U379" s="981">
        <v>4000</v>
      </c>
      <c r="V379" s="985">
        <v>3000</v>
      </c>
      <c r="W379" s="985">
        <v>3000</v>
      </c>
      <c r="X379" s="981">
        <v>3000</v>
      </c>
    </row>
    <row r="380" spans="1:24" s="5" customFormat="1" ht="24">
      <c r="A380" s="5">
        <v>10</v>
      </c>
      <c r="B380" s="597">
        <v>10</v>
      </c>
      <c r="C380" s="640" t="s">
        <v>34</v>
      </c>
      <c r="D380" s="823" t="s">
        <v>238</v>
      </c>
      <c r="E380" s="973">
        <f t="shared" si="36"/>
        <v>1067087</v>
      </c>
      <c r="F380" s="973">
        <f t="shared" si="37"/>
        <v>450000</v>
      </c>
      <c r="G380" s="974">
        <f>G381+G386+G396</f>
        <v>450000</v>
      </c>
      <c r="H380" s="975">
        <f>H381+H396</f>
        <v>0</v>
      </c>
      <c r="I380" s="975">
        <f>I381+I396</f>
        <v>0</v>
      </c>
      <c r="J380" s="975">
        <f>J381+J396</f>
        <v>0</v>
      </c>
      <c r="K380" s="975">
        <f>K381+K396</f>
        <v>0</v>
      </c>
      <c r="L380" s="973">
        <f t="shared" si="38"/>
        <v>617087</v>
      </c>
      <c r="M380" s="974">
        <f t="shared" ref="M380:X380" si="43">M381+M386+M396</f>
        <v>123400</v>
      </c>
      <c r="N380" s="974">
        <f t="shared" si="43"/>
        <v>90000</v>
      </c>
      <c r="O380" s="974">
        <f t="shared" si="43"/>
        <v>8700</v>
      </c>
      <c r="P380" s="974">
        <f t="shared" si="43"/>
        <v>24220</v>
      </c>
      <c r="Q380" s="974">
        <f t="shared" si="43"/>
        <v>55180</v>
      </c>
      <c r="R380" s="974">
        <f t="shared" si="43"/>
        <v>42000</v>
      </c>
      <c r="S380" s="974">
        <f t="shared" si="43"/>
        <v>4547</v>
      </c>
      <c r="T380" s="974">
        <f t="shared" si="43"/>
        <v>32440</v>
      </c>
      <c r="U380" s="974">
        <f t="shared" si="43"/>
        <v>41826</v>
      </c>
      <c r="V380" s="974">
        <f t="shared" si="43"/>
        <v>34010</v>
      </c>
      <c r="W380" s="974">
        <f t="shared" si="43"/>
        <v>85764</v>
      </c>
      <c r="X380" s="974">
        <f t="shared" si="43"/>
        <v>75000</v>
      </c>
    </row>
    <row r="381" spans="1:24" s="13" customFormat="1" ht="36">
      <c r="A381" s="13" t="s">
        <v>806</v>
      </c>
      <c r="B381" s="646" t="s">
        <v>583</v>
      </c>
      <c r="C381" s="641" t="s">
        <v>34</v>
      </c>
      <c r="D381" s="864" t="s">
        <v>28</v>
      </c>
      <c r="E381" s="973">
        <f t="shared" si="36"/>
        <v>20000</v>
      </c>
      <c r="F381" s="973">
        <f t="shared" si="37"/>
        <v>20000</v>
      </c>
      <c r="G381" s="977">
        <f>SUM(G382:G385)</f>
        <v>20000</v>
      </c>
      <c r="H381" s="978">
        <f>SUM(H382:H385)</f>
        <v>0</v>
      </c>
      <c r="I381" s="978">
        <f>SUM(I382:I385)</f>
        <v>0</v>
      </c>
      <c r="J381" s="978">
        <f>SUM(J382:J385)</f>
        <v>0</v>
      </c>
      <c r="K381" s="978">
        <f>SUM(K382:K385)</f>
        <v>0</v>
      </c>
      <c r="L381" s="973">
        <f t="shared" si="38"/>
        <v>0</v>
      </c>
      <c r="M381" s="977">
        <f t="shared" ref="M381:X381" si="44">SUM(M382:M385)</f>
        <v>0</v>
      </c>
      <c r="N381" s="977">
        <f t="shared" si="44"/>
        <v>0</v>
      </c>
      <c r="O381" s="977">
        <f t="shared" si="44"/>
        <v>0</v>
      </c>
      <c r="P381" s="977">
        <f t="shared" si="44"/>
        <v>0</v>
      </c>
      <c r="Q381" s="977">
        <f t="shared" si="44"/>
        <v>0</v>
      </c>
      <c r="R381" s="977">
        <f t="shared" si="44"/>
        <v>0</v>
      </c>
      <c r="S381" s="977">
        <f t="shared" si="44"/>
        <v>0</v>
      </c>
      <c r="T381" s="977">
        <f t="shared" si="44"/>
        <v>0</v>
      </c>
      <c r="U381" s="977">
        <f t="shared" si="44"/>
        <v>0</v>
      </c>
      <c r="V381" s="977">
        <f t="shared" si="44"/>
        <v>0</v>
      </c>
      <c r="W381" s="977">
        <f t="shared" si="44"/>
        <v>0</v>
      </c>
      <c r="X381" s="977">
        <f t="shared" si="44"/>
        <v>0</v>
      </c>
    </row>
    <row r="382" spans="1:24" s="8" customFormat="1" ht="36">
      <c r="B382" s="608">
        <v>1</v>
      </c>
      <c r="C382" s="647" t="s">
        <v>34</v>
      </c>
      <c r="D382" s="918" t="s">
        <v>330</v>
      </c>
      <c r="E382" s="1010">
        <f t="shared" si="36"/>
        <v>10000</v>
      </c>
      <c r="F382" s="1010">
        <f t="shared" si="37"/>
        <v>10000</v>
      </c>
      <c r="G382" s="988">
        <v>10000</v>
      </c>
      <c r="H382" s="982"/>
      <c r="I382" s="980"/>
      <c r="J382" s="980"/>
      <c r="K382" s="980"/>
      <c r="L382" s="1010">
        <f t="shared" si="38"/>
        <v>0</v>
      </c>
      <c r="M382" s="981"/>
      <c r="N382" s="981"/>
      <c r="O382" s="981"/>
      <c r="P382" s="981"/>
      <c r="Q382" s="979"/>
      <c r="R382" s="979"/>
      <c r="S382" s="981"/>
      <c r="T382" s="981"/>
      <c r="U382" s="979"/>
      <c r="V382" s="981"/>
      <c r="W382" s="981"/>
      <c r="X382" s="981"/>
    </row>
    <row r="383" spans="1:24" s="8" customFormat="1" ht="48">
      <c r="B383" s="608">
        <v>2</v>
      </c>
      <c r="C383" s="647" t="s">
        <v>34</v>
      </c>
      <c r="D383" s="919" t="s">
        <v>331</v>
      </c>
      <c r="E383" s="1010"/>
      <c r="F383" s="1010"/>
      <c r="G383" s="988"/>
      <c r="H383" s="982"/>
      <c r="I383" s="980"/>
      <c r="J383" s="980"/>
      <c r="K383" s="980"/>
      <c r="L383" s="1010"/>
      <c r="M383" s="981"/>
      <c r="N383" s="981"/>
      <c r="O383" s="979"/>
      <c r="P383" s="981"/>
      <c r="Q383" s="979"/>
      <c r="R383" s="979"/>
      <c r="S383" s="979"/>
      <c r="T383" s="981"/>
      <c r="U383" s="979"/>
      <c r="V383" s="981"/>
      <c r="W383" s="981"/>
      <c r="X383" s="981"/>
    </row>
    <row r="384" spans="1:24" s="8" customFormat="1" ht="72">
      <c r="B384" s="608">
        <v>4</v>
      </c>
      <c r="C384" s="647" t="s">
        <v>34</v>
      </c>
      <c r="D384" s="918" t="s">
        <v>333</v>
      </c>
      <c r="E384" s="1010">
        <f t="shared" si="36"/>
        <v>10000</v>
      </c>
      <c r="F384" s="1010">
        <f t="shared" si="37"/>
        <v>10000</v>
      </c>
      <c r="G384" s="988">
        <v>10000</v>
      </c>
      <c r="H384" s="982"/>
      <c r="I384" s="980"/>
      <c r="J384" s="980"/>
      <c r="K384" s="980"/>
      <c r="L384" s="1010">
        <f t="shared" si="38"/>
        <v>0</v>
      </c>
      <c r="M384" s="981"/>
      <c r="N384" s="981"/>
      <c r="O384" s="979"/>
      <c r="P384" s="981"/>
      <c r="Q384" s="979"/>
      <c r="R384" s="979"/>
      <c r="S384" s="979"/>
      <c r="T384" s="981"/>
      <c r="U384" s="979"/>
      <c r="V384" s="981"/>
      <c r="W384" s="981"/>
      <c r="X384" s="981"/>
    </row>
    <row r="385" spans="1:24" s="8" customFormat="1" ht="48">
      <c r="B385" s="608">
        <v>5</v>
      </c>
      <c r="C385" s="647" t="s">
        <v>34</v>
      </c>
      <c r="D385" s="918" t="s">
        <v>710</v>
      </c>
      <c r="E385" s="1010"/>
      <c r="F385" s="1010"/>
      <c r="G385" s="988"/>
      <c r="H385" s="982"/>
      <c r="I385" s="980"/>
      <c r="J385" s="980"/>
      <c r="K385" s="980"/>
      <c r="L385" s="1010"/>
      <c r="M385" s="981"/>
      <c r="N385" s="981"/>
      <c r="O385" s="979"/>
      <c r="P385" s="981"/>
      <c r="Q385" s="979"/>
      <c r="R385" s="981"/>
      <c r="S385" s="979"/>
      <c r="T385" s="981"/>
      <c r="U385" s="979"/>
      <c r="V385" s="981"/>
      <c r="W385" s="981"/>
      <c r="X385" s="981"/>
    </row>
    <row r="386" spans="1:24" s="682" customFormat="1">
      <c r="A386" s="682" t="s">
        <v>807</v>
      </c>
      <c r="B386" s="680" t="s">
        <v>584</v>
      </c>
      <c r="C386" s="681" t="s">
        <v>1</v>
      </c>
      <c r="D386" s="920"/>
      <c r="E386" s="1036">
        <f t="shared" ref="E386:E437" si="45">F386+L386</f>
        <v>1974947</v>
      </c>
      <c r="F386" s="1036">
        <f t="shared" ref="F386:F437" si="46">SUM(G386:K386)</f>
        <v>1357860</v>
      </c>
      <c r="G386" s="1037">
        <f>SUM(G387:G395)</f>
        <v>0</v>
      </c>
      <c r="H386" s="1038">
        <f>SUM(H387:H395)</f>
        <v>1357860</v>
      </c>
      <c r="I386" s="1038">
        <f>SUM(I387:I395)</f>
        <v>0</v>
      </c>
      <c r="J386" s="1038">
        <f>SUM(J387:J395)</f>
        <v>0</v>
      </c>
      <c r="K386" s="1038">
        <f>SUM(K387:K395)</f>
        <v>0</v>
      </c>
      <c r="L386" s="976">
        <f t="shared" ref="L386:L437" si="47">SUM(M386:X386)</f>
        <v>617087</v>
      </c>
      <c r="M386" s="1037">
        <f t="shared" ref="M386:X386" si="48">SUM(M387:M395)</f>
        <v>123400</v>
      </c>
      <c r="N386" s="1037">
        <f t="shared" si="48"/>
        <v>90000</v>
      </c>
      <c r="O386" s="1037">
        <f t="shared" si="48"/>
        <v>8700</v>
      </c>
      <c r="P386" s="1037">
        <f t="shared" si="48"/>
        <v>24220</v>
      </c>
      <c r="Q386" s="1037">
        <f t="shared" si="48"/>
        <v>55180</v>
      </c>
      <c r="R386" s="1037">
        <f t="shared" si="48"/>
        <v>42000</v>
      </c>
      <c r="S386" s="1037">
        <f t="shared" si="48"/>
        <v>4547</v>
      </c>
      <c r="T386" s="1037">
        <f t="shared" si="48"/>
        <v>32440</v>
      </c>
      <c r="U386" s="1037">
        <f t="shared" si="48"/>
        <v>41826</v>
      </c>
      <c r="V386" s="1037">
        <f t="shared" si="48"/>
        <v>34010</v>
      </c>
      <c r="W386" s="1037">
        <f t="shared" si="48"/>
        <v>85764</v>
      </c>
      <c r="X386" s="1037">
        <f t="shared" si="48"/>
        <v>75000</v>
      </c>
    </row>
    <row r="387" spans="1:24" s="8" customFormat="1" ht="24">
      <c r="B387" s="39">
        <v>1</v>
      </c>
      <c r="C387" s="41" t="s">
        <v>1</v>
      </c>
      <c r="D387" s="921" t="s">
        <v>549</v>
      </c>
      <c r="E387" s="973">
        <f t="shared" si="45"/>
        <v>67940</v>
      </c>
      <c r="F387" s="973">
        <f t="shared" si="46"/>
        <v>19500</v>
      </c>
      <c r="G387" s="1039"/>
      <c r="H387" s="999">
        <v>19500</v>
      </c>
      <c r="I387" s="999"/>
      <c r="J387" s="999"/>
      <c r="K387" s="999"/>
      <c r="L387" s="973">
        <f t="shared" si="47"/>
        <v>48440</v>
      </c>
      <c r="M387" s="1031"/>
      <c r="N387" s="1031">
        <v>10000</v>
      </c>
      <c r="O387" s="1031"/>
      <c r="P387" s="1031"/>
      <c r="Q387" s="1031"/>
      <c r="R387" s="1031">
        <v>12000</v>
      </c>
      <c r="S387" s="1031">
        <v>960</v>
      </c>
      <c r="T387" s="1031"/>
      <c r="U387" s="1031"/>
      <c r="V387" s="1031"/>
      <c r="W387" s="1031">
        <v>5480</v>
      </c>
      <c r="X387" s="1031">
        <v>20000</v>
      </c>
    </row>
    <row r="388" spans="1:24" s="8" customFormat="1" ht="48">
      <c r="B388" s="39">
        <v>2</v>
      </c>
      <c r="C388" s="41" t="s">
        <v>1</v>
      </c>
      <c r="D388" s="922" t="s">
        <v>550</v>
      </c>
      <c r="E388" s="973">
        <f t="shared" si="45"/>
        <v>126780</v>
      </c>
      <c r="F388" s="973">
        <f t="shared" si="46"/>
        <v>60800</v>
      </c>
      <c r="G388" s="1039"/>
      <c r="H388" s="999">
        <v>60800</v>
      </c>
      <c r="I388" s="999"/>
      <c r="J388" s="999"/>
      <c r="K388" s="999"/>
      <c r="L388" s="973">
        <f t="shared" si="47"/>
        <v>65980</v>
      </c>
      <c r="M388" s="1031">
        <v>20000</v>
      </c>
      <c r="N388" s="1031">
        <v>10000</v>
      </c>
      <c r="O388" s="1031">
        <v>2600</v>
      </c>
      <c r="P388" s="1031"/>
      <c r="Q388" s="1031">
        <v>7000</v>
      </c>
      <c r="R388" s="1031"/>
      <c r="S388" s="1031"/>
      <c r="T388" s="1031">
        <v>13700</v>
      </c>
      <c r="U388" s="1031"/>
      <c r="V388" s="1031"/>
      <c r="W388" s="1031">
        <v>7680</v>
      </c>
      <c r="X388" s="1031">
        <v>5000</v>
      </c>
    </row>
    <row r="389" spans="1:24" s="8" customFormat="1" ht="72">
      <c r="B389" s="39">
        <v>3</v>
      </c>
      <c r="C389" s="41" t="s">
        <v>1</v>
      </c>
      <c r="D389" s="923" t="s">
        <v>551</v>
      </c>
      <c r="E389" s="973">
        <f t="shared" si="45"/>
        <v>215880</v>
      </c>
      <c r="F389" s="973">
        <f t="shared" si="46"/>
        <v>132560</v>
      </c>
      <c r="G389" s="1039"/>
      <c r="H389" s="999">
        <v>132560</v>
      </c>
      <c r="I389" s="999"/>
      <c r="J389" s="999"/>
      <c r="K389" s="999"/>
      <c r="L389" s="973">
        <f t="shared" si="47"/>
        <v>83320</v>
      </c>
      <c r="M389" s="1025"/>
      <c r="N389" s="1040">
        <v>20000</v>
      </c>
      <c r="O389" s="1031"/>
      <c r="P389" s="1040"/>
      <c r="Q389" s="1041">
        <v>30880</v>
      </c>
      <c r="R389" s="1031"/>
      <c r="S389" s="1031"/>
      <c r="T389" s="1040"/>
      <c r="U389" s="1031"/>
      <c r="V389" s="1040"/>
      <c r="W389" s="1040">
        <v>22440</v>
      </c>
      <c r="X389" s="1025">
        <v>10000</v>
      </c>
    </row>
    <row r="390" spans="1:24" s="8" customFormat="1" ht="24">
      <c r="B390" s="39">
        <v>4</v>
      </c>
      <c r="C390" s="41" t="s">
        <v>1</v>
      </c>
      <c r="D390" s="922" t="s">
        <v>552</v>
      </c>
      <c r="E390" s="973">
        <f t="shared" si="45"/>
        <v>225000</v>
      </c>
      <c r="F390" s="973">
        <f t="shared" si="46"/>
        <v>200000</v>
      </c>
      <c r="G390" s="1039"/>
      <c r="H390" s="999">
        <v>200000</v>
      </c>
      <c r="I390" s="999"/>
      <c r="J390" s="999"/>
      <c r="K390" s="999"/>
      <c r="L390" s="973">
        <f t="shared" si="47"/>
        <v>25000</v>
      </c>
      <c r="M390" s="1031"/>
      <c r="N390" s="1031">
        <v>15000</v>
      </c>
      <c r="O390" s="1031"/>
      <c r="P390" s="1031"/>
      <c r="Q390" s="1031">
        <v>10000</v>
      </c>
      <c r="R390" s="1031"/>
      <c r="S390" s="1031"/>
      <c r="T390" s="1031"/>
      <c r="U390" s="1031"/>
      <c r="V390" s="1031"/>
      <c r="W390" s="1031"/>
      <c r="X390" s="1031"/>
    </row>
    <row r="391" spans="1:24" s="8" customFormat="1" ht="24">
      <c r="B391" s="39">
        <v>5</v>
      </c>
      <c r="C391" s="41" t="s">
        <v>1</v>
      </c>
      <c r="D391" s="924" t="s">
        <v>553</v>
      </c>
      <c r="E391" s="973">
        <f t="shared" si="45"/>
        <v>962257</v>
      </c>
      <c r="F391" s="973">
        <f t="shared" si="46"/>
        <v>655000</v>
      </c>
      <c r="G391" s="1039"/>
      <c r="H391" s="999">
        <v>655000</v>
      </c>
      <c r="I391" s="999"/>
      <c r="J391" s="999"/>
      <c r="K391" s="999"/>
      <c r="L391" s="973">
        <f t="shared" si="47"/>
        <v>307257</v>
      </c>
      <c r="M391" s="1025">
        <v>103400</v>
      </c>
      <c r="N391" s="1040">
        <v>15000</v>
      </c>
      <c r="O391" s="1031">
        <v>6100</v>
      </c>
      <c r="P391" s="1040">
        <v>24220</v>
      </c>
      <c r="Q391" s="1041">
        <v>7300</v>
      </c>
      <c r="R391" s="1031">
        <v>30000</v>
      </c>
      <c r="S391" s="1031">
        <v>3587</v>
      </c>
      <c r="T391" s="1040">
        <v>8740</v>
      </c>
      <c r="U391" s="1031">
        <v>9500</v>
      </c>
      <c r="V391" s="1040">
        <v>28010</v>
      </c>
      <c r="W391" s="1040">
        <v>46400</v>
      </c>
      <c r="X391" s="1025">
        <v>25000</v>
      </c>
    </row>
    <row r="392" spans="1:24" s="8" customFormat="1" ht="36">
      <c r="B392" s="39">
        <v>6</v>
      </c>
      <c r="C392" s="41" t="s">
        <v>1</v>
      </c>
      <c r="D392" s="841" t="s">
        <v>554</v>
      </c>
      <c r="E392" s="973"/>
      <c r="F392" s="973"/>
      <c r="G392" s="1039"/>
      <c r="H392" s="999"/>
      <c r="I392" s="999"/>
      <c r="J392" s="999"/>
      <c r="K392" s="999"/>
      <c r="L392" s="973"/>
      <c r="M392" s="1031"/>
      <c r="N392" s="1040"/>
      <c r="O392" s="1031"/>
      <c r="P392" s="1031"/>
      <c r="Q392" s="1031"/>
      <c r="R392" s="1031"/>
      <c r="S392" s="1031"/>
      <c r="T392" s="1031"/>
      <c r="U392" s="1031"/>
      <c r="V392" s="1031"/>
      <c r="W392" s="1040"/>
      <c r="X392" s="1025"/>
    </row>
    <row r="393" spans="1:24" s="8" customFormat="1" ht="24">
      <c r="B393" s="39">
        <v>7</v>
      </c>
      <c r="C393" s="41" t="s">
        <v>1</v>
      </c>
      <c r="D393" s="925" t="s">
        <v>555</v>
      </c>
      <c r="E393" s="973">
        <f t="shared" si="45"/>
        <v>278890</v>
      </c>
      <c r="F393" s="973">
        <f t="shared" si="46"/>
        <v>200000</v>
      </c>
      <c r="G393" s="1039"/>
      <c r="H393" s="999">
        <v>200000</v>
      </c>
      <c r="I393" s="999"/>
      <c r="J393" s="999"/>
      <c r="K393" s="999"/>
      <c r="L393" s="973">
        <f t="shared" si="47"/>
        <v>78890</v>
      </c>
      <c r="M393" s="1025"/>
      <c r="N393" s="1040">
        <v>20000</v>
      </c>
      <c r="O393" s="1031"/>
      <c r="P393" s="1040"/>
      <c r="Q393" s="1041"/>
      <c r="R393" s="1040"/>
      <c r="S393" s="1031"/>
      <c r="T393" s="1040">
        <v>10000</v>
      </c>
      <c r="U393" s="1031">
        <v>32326</v>
      </c>
      <c r="V393" s="1040">
        <v>6000</v>
      </c>
      <c r="W393" s="1040">
        <v>564</v>
      </c>
      <c r="X393" s="1025">
        <v>10000</v>
      </c>
    </row>
    <row r="394" spans="1:24" s="8" customFormat="1" ht="24">
      <c r="B394" s="39">
        <v>8</v>
      </c>
      <c r="C394" s="41" t="s">
        <v>1</v>
      </c>
      <c r="D394" s="926" t="s">
        <v>556</v>
      </c>
      <c r="E394" s="973">
        <f t="shared" si="45"/>
        <v>98200</v>
      </c>
      <c r="F394" s="973">
        <f t="shared" si="46"/>
        <v>90000</v>
      </c>
      <c r="G394" s="1039"/>
      <c r="H394" s="999">
        <v>90000</v>
      </c>
      <c r="I394" s="999"/>
      <c r="J394" s="999"/>
      <c r="K394" s="999"/>
      <c r="L394" s="973">
        <f t="shared" si="47"/>
        <v>8200</v>
      </c>
      <c r="M394" s="1025"/>
      <c r="N394" s="1040"/>
      <c r="O394" s="1031"/>
      <c r="P394" s="1040"/>
      <c r="Q394" s="1041"/>
      <c r="R394" s="1031"/>
      <c r="S394" s="1031"/>
      <c r="T394" s="1040"/>
      <c r="U394" s="1031"/>
      <c r="V394" s="1040"/>
      <c r="W394" s="1040">
        <v>3200</v>
      </c>
      <c r="X394" s="1025">
        <v>5000</v>
      </c>
    </row>
    <row r="395" spans="1:24" s="8" customFormat="1" ht="36">
      <c r="B395" s="39">
        <v>9</v>
      </c>
      <c r="C395" s="41" t="s">
        <v>1</v>
      </c>
      <c r="D395" s="926" t="s">
        <v>557</v>
      </c>
      <c r="E395" s="973"/>
      <c r="F395" s="973"/>
      <c r="G395" s="1039"/>
      <c r="H395" s="999"/>
      <c r="I395" s="999"/>
      <c r="J395" s="999"/>
      <c r="K395" s="999"/>
      <c r="L395" s="973"/>
      <c r="M395" s="1025"/>
      <c r="N395" s="1040"/>
      <c r="O395" s="1031"/>
      <c r="P395" s="1040"/>
      <c r="Q395" s="1041"/>
      <c r="R395" s="1031"/>
      <c r="S395" s="1031"/>
      <c r="T395" s="1040"/>
      <c r="U395" s="1031"/>
      <c r="V395" s="1040"/>
      <c r="W395" s="1040"/>
      <c r="X395" s="1025"/>
    </row>
    <row r="396" spans="1:24" s="13" customFormat="1" ht="36">
      <c r="A396" s="13" t="s">
        <v>807</v>
      </c>
      <c r="B396" s="646" t="s">
        <v>255</v>
      </c>
      <c r="C396" s="648" t="s">
        <v>34</v>
      </c>
      <c r="D396" s="856" t="s">
        <v>30</v>
      </c>
      <c r="E396" s="976">
        <f t="shared" si="45"/>
        <v>430000</v>
      </c>
      <c r="F396" s="976">
        <f t="shared" si="46"/>
        <v>430000</v>
      </c>
      <c r="G396" s="977">
        <f>SUM(G397:G405)</f>
        <v>430000</v>
      </c>
      <c r="H396" s="978">
        <f t="shared" ref="H396:X396" si="49">SUM(H397:H405)</f>
        <v>0</v>
      </c>
      <c r="I396" s="978">
        <f t="shared" si="49"/>
        <v>0</v>
      </c>
      <c r="J396" s="978">
        <f t="shared" si="49"/>
        <v>0</v>
      </c>
      <c r="K396" s="978">
        <f t="shared" si="49"/>
        <v>0</v>
      </c>
      <c r="L396" s="976">
        <f t="shared" si="47"/>
        <v>0</v>
      </c>
      <c r="M396" s="977">
        <f t="shared" si="49"/>
        <v>0</v>
      </c>
      <c r="N396" s="977">
        <f t="shared" si="49"/>
        <v>0</v>
      </c>
      <c r="O396" s="977">
        <f t="shared" si="49"/>
        <v>0</v>
      </c>
      <c r="P396" s="977">
        <f t="shared" si="49"/>
        <v>0</v>
      </c>
      <c r="Q396" s="977">
        <f t="shared" si="49"/>
        <v>0</v>
      </c>
      <c r="R396" s="977">
        <f t="shared" si="49"/>
        <v>0</v>
      </c>
      <c r="S396" s="977">
        <f t="shared" si="49"/>
        <v>0</v>
      </c>
      <c r="T396" s="977">
        <f t="shared" si="49"/>
        <v>0</v>
      </c>
      <c r="U396" s="977">
        <f t="shared" si="49"/>
        <v>0</v>
      </c>
      <c r="V396" s="977">
        <f t="shared" si="49"/>
        <v>0</v>
      </c>
      <c r="W396" s="977">
        <f t="shared" si="49"/>
        <v>0</v>
      </c>
      <c r="X396" s="977">
        <f t="shared" si="49"/>
        <v>0</v>
      </c>
    </row>
    <row r="397" spans="1:24" s="8" customFormat="1" ht="24">
      <c r="B397" s="649">
        <v>1</v>
      </c>
      <c r="C397" s="647" t="s">
        <v>34</v>
      </c>
      <c r="D397" s="858" t="s">
        <v>131</v>
      </c>
      <c r="E397" s="1005">
        <f t="shared" si="45"/>
        <v>40000</v>
      </c>
      <c r="F397" s="1005">
        <f t="shared" si="46"/>
        <v>40000</v>
      </c>
      <c r="G397" s="979">
        <v>40000</v>
      </c>
      <c r="H397" s="980"/>
      <c r="I397" s="980"/>
      <c r="J397" s="980"/>
      <c r="K397" s="980"/>
      <c r="L397" s="1005">
        <f t="shared" si="47"/>
        <v>0</v>
      </c>
      <c r="M397" s="979"/>
      <c r="N397" s="981"/>
      <c r="O397" s="979"/>
      <c r="P397" s="979"/>
      <c r="Q397" s="979"/>
      <c r="R397" s="979"/>
      <c r="S397" s="979"/>
      <c r="T397" s="979"/>
      <c r="U397" s="979"/>
      <c r="V397" s="979"/>
      <c r="W397" s="981"/>
      <c r="X397" s="981"/>
    </row>
    <row r="398" spans="1:24" s="8" customFormat="1" ht="48">
      <c r="B398" s="649">
        <v>2</v>
      </c>
      <c r="C398" s="647" t="s">
        <v>34</v>
      </c>
      <c r="D398" s="857" t="s">
        <v>474</v>
      </c>
      <c r="E398" s="1005">
        <f t="shared" si="45"/>
        <v>130000</v>
      </c>
      <c r="F398" s="1005">
        <f t="shared" si="46"/>
        <v>130000</v>
      </c>
      <c r="G398" s="979">
        <f>70000+60000</f>
        <v>130000</v>
      </c>
      <c r="H398" s="980"/>
      <c r="I398" s="980"/>
      <c r="J398" s="980"/>
      <c r="K398" s="980"/>
      <c r="L398" s="1005">
        <f t="shared" si="47"/>
        <v>0</v>
      </c>
      <c r="M398" s="979"/>
      <c r="N398" s="981"/>
      <c r="O398" s="979"/>
      <c r="P398" s="979"/>
      <c r="Q398" s="979"/>
      <c r="R398" s="979"/>
      <c r="S398" s="979"/>
      <c r="T398" s="979"/>
      <c r="U398" s="979"/>
      <c r="V398" s="979"/>
      <c r="W398" s="981"/>
      <c r="X398" s="981"/>
    </row>
    <row r="399" spans="1:24" s="8" customFormat="1" ht="36">
      <c r="B399" s="649">
        <v>3</v>
      </c>
      <c r="C399" s="647" t="s">
        <v>34</v>
      </c>
      <c r="D399" s="858" t="s">
        <v>132</v>
      </c>
      <c r="E399" s="1005">
        <f t="shared" si="45"/>
        <v>10000</v>
      </c>
      <c r="F399" s="1005">
        <f t="shared" si="46"/>
        <v>10000</v>
      </c>
      <c r="G399" s="979">
        <v>10000</v>
      </c>
      <c r="H399" s="980"/>
      <c r="I399" s="980"/>
      <c r="J399" s="980"/>
      <c r="K399" s="980"/>
      <c r="L399" s="1005">
        <f t="shared" si="47"/>
        <v>0</v>
      </c>
      <c r="M399" s="979"/>
      <c r="N399" s="981"/>
      <c r="O399" s="979"/>
      <c r="P399" s="979"/>
      <c r="Q399" s="979"/>
      <c r="R399" s="979"/>
      <c r="S399" s="979"/>
      <c r="T399" s="979"/>
      <c r="U399" s="979"/>
      <c r="V399" s="979"/>
      <c r="W399" s="981"/>
      <c r="X399" s="981"/>
    </row>
    <row r="400" spans="1:24" s="8" customFormat="1" ht="60">
      <c r="B400" s="649">
        <v>4</v>
      </c>
      <c r="C400" s="647" t="s">
        <v>34</v>
      </c>
      <c r="D400" s="817" t="s">
        <v>475</v>
      </c>
      <c r="E400" s="1005">
        <f t="shared" si="45"/>
        <v>100000</v>
      </c>
      <c r="F400" s="1005">
        <f t="shared" si="46"/>
        <v>100000</v>
      </c>
      <c r="G400" s="979">
        <f>50000+50000</f>
        <v>100000</v>
      </c>
      <c r="H400" s="980"/>
      <c r="I400" s="980"/>
      <c r="J400" s="980"/>
      <c r="K400" s="980"/>
      <c r="L400" s="1005">
        <f t="shared" si="47"/>
        <v>0</v>
      </c>
      <c r="M400" s="979"/>
      <c r="N400" s="981"/>
      <c r="O400" s="979"/>
      <c r="P400" s="979"/>
      <c r="Q400" s="979"/>
      <c r="R400" s="979"/>
      <c r="S400" s="979"/>
      <c r="T400" s="979"/>
      <c r="U400" s="979"/>
      <c r="V400" s="979"/>
      <c r="W400" s="981"/>
      <c r="X400" s="981"/>
    </row>
    <row r="401" spans="1:24" s="8" customFormat="1" ht="60">
      <c r="B401" s="649">
        <v>5</v>
      </c>
      <c r="C401" s="647" t="s">
        <v>34</v>
      </c>
      <c r="D401" s="817" t="s">
        <v>476</v>
      </c>
      <c r="E401" s="1005">
        <f t="shared" si="45"/>
        <v>120000</v>
      </c>
      <c r="F401" s="1005">
        <f t="shared" si="46"/>
        <v>120000</v>
      </c>
      <c r="G401" s="979">
        <f>60000+60000</f>
        <v>120000</v>
      </c>
      <c r="H401" s="980"/>
      <c r="I401" s="980"/>
      <c r="J401" s="980"/>
      <c r="K401" s="980"/>
      <c r="L401" s="1005">
        <f t="shared" si="47"/>
        <v>0</v>
      </c>
      <c r="M401" s="979"/>
      <c r="N401" s="981"/>
      <c r="O401" s="979"/>
      <c r="P401" s="979"/>
      <c r="Q401" s="979"/>
      <c r="R401" s="979"/>
      <c r="S401" s="979"/>
      <c r="T401" s="979"/>
      <c r="U401" s="979"/>
      <c r="V401" s="979"/>
      <c r="W401" s="981"/>
      <c r="X401" s="981"/>
    </row>
    <row r="402" spans="1:24" s="8" customFormat="1" ht="48">
      <c r="B402" s="649">
        <v>6</v>
      </c>
      <c r="C402" s="647" t="s">
        <v>34</v>
      </c>
      <c r="D402" s="817" t="s">
        <v>477</v>
      </c>
      <c r="E402" s="1005">
        <f t="shared" si="45"/>
        <v>30000</v>
      </c>
      <c r="F402" s="1005">
        <f t="shared" si="46"/>
        <v>30000</v>
      </c>
      <c r="G402" s="979">
        <v>30000</v>
      </c>
      <c r="H402" s="980"/>
      <c r="I402" s="980"/>
      <c r="J402" s="980"/>
      <c r="K402" s="980"/>
      <c r="L402" s="1005">
        <f t="shared" si="47"/>
        <v>0</v>
      </c>
      <c r="M402" s="979"/>
      <c r="N402" s="981"/>
      <c r="O402" s="979"/>
      <c r="P402" s="979"/>
      <c r="Q402" s="979"/>
      <c r="R402" s="979"/>
      <c r="S402" s="979"/>
      <c r="T402" s="979"/>
      <c r="U402" s="979"/>
      <c r="V402" s="979"/>
      <c r="W402" s="981"/>
      <c r="X402" s="981"/>
    </row>
    <row r="403" spans="1:24" s="8" customFormat="1" ht="48">
      <c r="B403" s="649">
        <v>7</v>
      </c>
      <c r="C403" s="647" t="s">
        <v>34</v>
      </c>
      <c r="D403" s="818" t="s">
        <v>711</v>
      </c>
      <c r="E403" s="1005"/>
      <c r="F403" s="1005"/>
      <c r="G403" s="979"/>
      <c r="H403" s="980"/>
      <c r="I403" s="980"/>
      <c r="J403" s="980"/>
      <c r="K403" s="980"/>
      <c r="L403" s="1005"/>
      <c r="M403" s="979"/>
      <c r="N403" s="981"/>
      <c r="O403" s="979"/>
      <c r="P403" s="979"/>
      <c r="Q403" s="979"/>
      <c r="R403" s="979"/>
      <c r="S403" s="979"/>
      <c r="T403" s="979"/>
      <c r="U403" s="979"/>
      <c r="V403" s="979"/>
      <c r="W403" s="981"/>
      <c r="X403" s="981"/>
    </row>
    <row r="404" spans="1:24" s="8" customFormat="1">
      <c r="B404" s="649">
        <v>8</v>
      </c>
      <c r="C404" s="647" t="s">
        <v>34</v>
      </c>
      <c r="D404" s="817" t="s">
        <v>292</v>
      </c>
      <c r="E404" s="1005">
        <f t="shared" si="45"/>
        <v>0</v>
      </c>
      <c r="F404" s="1005">
        <f t="shared" si="46"/>
        <v>0</v>
      </c>
      <c r="G404" s="979"/>
      <c r="H404" s="980"/>
      <c r="I404" s="980"/>
      <c r="J404" s="980"/>
      <c r="K404" s="980"/>
      <c r="L404" s="1005">
        <f t="shared" si="47"/>
        <v>0</v>
      </c>
      <c r="M404" s="979"/>
      <c r="N404" s="981"/>
      <c r="O404" s="979"/>
      <c r="P404" s="979"/>
      <c r="Q404" s="979"/>
      <c r="R404" s="979"/>
      <c r="S404" s="979"/>
      <c r="T404" s="979"/>
      <c r="U404" s="981"/>
      <c r="V404" s="979"/>
      <c r="W404" s="981"/>
      <c r="X404" s="981"/>
    </row>
    <row r="405" spans="1:24" s="8" customFormat="1">
      <c r="B405" s="649">
        <v>9</v>
      </c>
      <c r="C405" s="647" t="s">
        <v>34</v>
      </c>
      <c r="D405" s="817" t="s">
        <v>291</v>
      </c>
      <c r="E405" s="1005">
        <f t="shared" si="45"/>
        <v>0</v>
      </c>
      <c r="F405" s="1005">
        <f t="shared" si="46"/>
        <v>0</v>
      </c>
      <c r="G405" s="979"/>
      <c r="H405" s="980"/>
      <c r="I405" s="980"/>
      <c r="J405" s="980"/>
      <c r="K405" s="980"/>
      <c r="L405" s="1005">
        <f t="shared" si="47"/>
        <v>0</v>
      </c>
      <c r="M405" s="979"/>
      <c r="N405" s="981"/>
      <c r="O405" s="979"/>
      <c r="P405" s="979"/>
      <c r="Q405" s="979"/>
      <c r="R405" s="979"/>
      <c r="S405" s="979"/>
      <c r="T405" s="979"/>
      <c r="U405" s="981"/>
      <c r="V405" s="979"/>
      <c r="W405" s="981"/>
      <c r="X405" s="981"/>
    </row>
    <row r="406" spans="1:24" s="651" customFormat="1">
      <c r="A406" s="651">
        <v>11</v>
      </c>
      <c r="B406" s="650">
        <v>11</v>
      </c>
      <c r="C406" s="647" t="s">
        <v>34</v>
      </c>
      <c r="D406" s="927" t="s">
        <v>312</v>
      </c>
      <c r="E406" s="1005">
        <f t="shared" si="45"/>
        <v>3797686</v>
      </c>
      <c r="F406" s="1005">
        <f t="shared" si="46"/>
        <v>2713000</v>
      </c>
      <c r="G406" s="979">
        <f>SUM(G407:G428)</f>
        <v>2713000</v>
      </c>
      <c r="H406" s="980">
        <f>SUM(H407:H428)</f>
        <v>0</v>
      </c>
      <c r="I406" s="980">
        <f>SUM(I407:I428)</f>
        <v>0</v>
      </c>
      <c r="J406" s="980">
        <f>SUM(J407:J428)</f>
        <v>0</v>
      </c>
      <c r="K406" s="980">
        <f>SUM(K407:K428)</f>
        <v>0</v>
      </c>
      <c r="L406" s="1005">
        <f t="shared" si="47"/>
        <v>1084686</v>
      </c>
      <c r="M406" s="979">
        <f t="shared" ref="M406:X406" si="50">SUM(M407:M428)</f>
        <v>235000</v>
      </c>
      <c r="N406" s="979">
        <f t="shared" si="50"/>
        <v>36000</v>
      </c>
      <c r="O406" s="979">
        <f t="shared" si="50"/>
        <v>2400</v>
      </c>
      <c r="P406" s="979">
        <f t="shared" si="50"/>
        <v>43390</v>
      </c>
      <c r="Q406" s="979">
        <f t="shared" si="50"/>
        <v>63376</v>
      </c>
      <c r="R406" s="979">
        <f t="shared" si="50"/>
        <v>72110</v>
      </c>
      <c r="S406" s="979">
        <f t="shared" si="50"/>
        <v>90500</v>
      </c>
      <c r="T406" s="979">
        <f t="shared" si="50"/>
        <v>106130</v>
      </c>
      <c r="U406" s="979">
        <f t="shared" si="50"/>
        <v>230620</v>
      </c>
      <c r="V406" s="979">
        <f t="shared" si="50"/>
        <v>28000</v>
      </c>
      <c r="W406" s="979">
        <f t="shared" si="50"/>
        <v>94116</v>
      </c>
      <c r="X406" s="979">
        <f t="shared" si="50"/>
        <v>83044</v>
      </c>
    </row>
    <row r="407" spans="1:24" s="23" customFormat="1" ht="108">
      <c r="B407" s="652">
        <v>1</v>
      </c>
      <c r="C407" s="647" t="s">
        <v>34</v>
      </c>
      <c r="D407" s="928" t="s">
        <v>712</v>
      </c>
      <c r="E407" s="1005">
        <f t="shared" si="45"/>
        <v>690614</v>
      </c>
      <c r="F407" s="1005">
        <f t="shared" si="46"/>
        <v>550000</v>
      </c>
      <c r="G407" s="1019">
        <v>550000</v>
      </c>
      <c r="H407" s="980"/>
      <c r="I407" s="980"/>
      <c r="J407" s="980"/>
      <c r="K407" s="980"/>
      <c r="L407" s="1005">
        <f t="shared" si="47"/>
        <v>140614</v>
      </c>
      <c r="M407" s="981">
        <v>31320</v>
      </c>
      <c r="N407" s="981">
        <v>3500</v>
      </c>
      <c r="O407" s="979"/>
      <c r="P407" s="981">
        <v>4180</v>
      </c>
      <c r="Q407" s="979">
        <v>22200</v>
      </c>
      <c r="R407" s="979"/>
      <c r="S407" s="979">
        <v>35500</v>
      </c>
      <c r="T407" s="981">
        <v>7790</v>
      </c>
      <c r="U407" s="981">
        <v>14900</v>
      </c>
      <c r="V407" s="1002">
        <v>6670</v>
      </c>
      <c r="W407" s="979">
        <v>2160</v>
      </c>
      <c r="X407" s="979">
        <v>12394</v>
      </c>
    </row>
    <row r="408" spans="1:24" s="8" customFormat="1" ht="48">
      <c r="B408" s="653">
        <v>2</v>
      </c>
      <c r="C408" s="647" t="s">
        <v>34</v>
      </c>
      <c r="D408" s="929" t="s">
        <v>135</v>
      </c>
      <c r="E408" s="1005"/>
      <c r="F408" s="1005"/>
      <c r="G408" s="1002"/>
      <c r="H408" s="980"/>
      <c r="I408" s="980"/>
      <c r="J408" s="980"/>
      <c r="K408" s="980"/>
      <c r="L408" s="1005"/>
      <c r="M408" s="981"/>
      <c r="N408" s="979"/>
      <c r="O408" s="979"/>
      <c r="P408" s="979"/>
      <c r="Q408" s="979"/>
      <c r="R408" s="979"/>
      <c r="S408" s="979"/>
      <c r="T408" s="979"/>
      <c r="U408" s="979"/>
      <c r="V408" s="979"/>
      <c r="W408" s="979"/>
      <c r="X408" s="979"/>
    </row>
    <row r="409" spans="1:24" s="8" customFormat="1" ht="24">
      <c r="B409" s="653">
        <v>3</v>
      </c>
      <c r="C409" s="647" t="s">
        <v>34</v>
      </c>
      <c r="D409" s="930" t="s">
        <v>366</v>
      </c>
      <c r="E409" s="1005">
        <f t="shared" si="45"/>
        <v>1243036</v>
      </c>
      <c r="F409" s="1005">
        <f t="shared" si="46"/>
        <v>1000000</v>
      </c>
      <c r="G409" s="1002">
        <v>1000000</v>
      </c>
      <c r="H409" s="980"/>
      <c r="I409" s="980"/>
      <c r="J409" s="980"/>
      <c r="K409" s="980"/>
      <c r="L409" s="1005">
        <f t="shared" si="47"/>
        <v>243036</v>
      </c>
      <c r="M409" s="979"/>
      <c r="N409" s="981">
        <v>30000</v>
      </c>
      <c r="O409" s="979"/>
      <c r="P409" s="979"/>
      <c r="Q409" s="979"/>
      <c r="R409" s="979">
        <v>64320</v>
      </c>
      <c r="S409" s="979"/>
      <c r="T409" s="981">
        <f>13440+69680</f>
        <v>83120</v>
      </c>
      <c r="U409" s="981"/>
      <c r="V409" s="1002">
        <v>2880</v>
      </c>
      <c r="W409" s="979">
        <v>31356</v>
      </c>
      <c r="X409" s="979">
        <f>26800+4560</f>
        <v>31360</v>
      </c>
    </row>
    <row r="410" spans="1:24" s="8" customFormat="1" ht="24">
      <c r="B410" s="653">
        <v>4</v>
      </c>
      <c r="C410" s="647" t="s">
        <v>34</v>
      </c>
      <c r="D410" s="930" t="s">
        <v>367</v>
      </c>
      <c r="E410" s="1005">
        <f t="shared" si="45"/>
        <v>8000</v>
      </c>
      <c r="F410" s="1005">
        <f t="shared" si="46"/>
        <v>8000</v>
      </c>
      <c r="G410" s="1002">
        <v>8000</v>
      </c>
      <c r="H410" s="980"/>
      <c r="I410" s="980"/>
      <c r="J410" s="980"/>
      <c r="K410" s="980"/>
      <c r="L410" s="1005">
        <f t="shared" si="47"/>
        <v>0</v>
      </c>
      <c r="M410" s="979"/>
      <c r="N410" s="979"/>
      <c r="O410" s="979"/>
      <c r="P410" s="979"/>
      <c r="Q410" s="979"/>
      <c r="R410" s="979"/>
      <c r="S410" s="979"/>
      <c r="T410" s="979"/>
      <c r="U410" s="979"/>
      <c r="V410" s="979"/>
      <c r="W410" s="979"/>
      <c r="X410" s="979"/>
    </row>
    <row r="411" spans="1:24" s="8" customFormat="1">
      <c r="B411" s="653">
        <v>5</v>
      </c>
      <c r="C411" s="647" t="s">
        <v>34</v>
      </c>
      <c r="D411" s="931" t="s">
        <v>368</v>
      </c>
      <c r="E411" s="1005">
        <f t="shared" si="45"/>
        <v>20750</v>
      </c>
      <c r="F411" s="1005">
        <f t="shared" si="46"/>
        <v>20000</v>
      </c>
      <c r="G411" s="1002">
        <v>20000</v>
      </c>
      <c r="H411" s="980"/>
      <c r="I411" s="980"/>
      <c r="J411" s="980"/>
      <c r="K411" s="980"/>
      <c r="L411" s="1005">
        <f t="shared" si="47"/>
        <v>750</v>
      </c>
      <c r="M411" s="981"/>
      <c r="N411" s="981"/>
      <c r="O411" s="981"/>
      <c r="P411" s="981"/>
      <c r="Q411" s="981"/>
      <c r="R411" s="981"/>
      <c r="S411" s="981"/>
      <c r="T411" s="981"/>
      <c r="U411" s="981"/>
      <c r="V411" s="981"/>
      <c r="W411" s="981"/>
      <c r="X411" s="979">
        <v>750</v>
      </c>
    </row>
    <row r="412" spans="1:24" s="8" customFormat="1">
      <c r="B412" s="653">
        <v>6</v>
      </c>
      <c r="C412" s="647" t="s">
        <v>34</v>
      </c>
      <c r="D412" s="931" t="s">
        <v>369</v>
      </c>
      <c r="E412" s="1005">
        <f t="shared" si="45"/>
        <v>35000</v>
      </c>
      <c r="F412" s="1005">
        <f t="shared" si="46"/>
        <v>35000</v>
      </c>
      <c r="G412" s="1002">
        <v>35000</v>
      </c>
      <c r="H412" s="980"/>
      <c r="I412" s="980"/>
      <c r="J412" s="980"/>
      <c r="K412" s="980"/>
      <c r="L412" s="1005">
        <f t="shared" si="47"/>
        <v>0</v>
      </c>
      <c r="M412" s="981"/>
      <c r="N412" s="981"/>
      <c r="O412" s="979"/>
      <c r="P412" s="981"/>
      <c r="Q412" s="981"/>
      <c r="R412" s="981"/>
      <c r="S412" s="981"/>
      <c r="T412" s="981"/>
      <c r="U412" s="981"/>
      <c r="V412" s="981"/>
      <c r="W412" s="981"/>
      <c r="X412" s="979"/>
    </row>
    <row r="413" spans="1:24" s="8" customFormat="1" ht="24">
      <c r="B413" s="653">
        <v>7</v>
      </c>
      <c r="C413" s="647" t="s">
        <v>34</v>
      </c>
      <c r="D413" s="930" t="s">
        <v>370</v>
      </c>
      <c r="E413" s="1005"/>
      <c r="F413" s="1005"/>
      <c r="G413" s="1019"/>
      <c r="H413" s="980"/>
      <c r="I413" s="980"/>
      <c r="J413" s="980"/>
      <c r="K413" s="980"/>
      <c r="L413" s="1005"/>
      <c r="M413" s="981"/>
      <c r="N413" s="981"/>
      <c r="O413" s="979"/>
      <c r="P413" s="981"/>
      <c r="Q413" s="981"/>
      <c r="R413" s="981"/>
      <c r="S413" s="981"/>
      <c r="T413" s="981"/>
      <c r="U413" s="981"/>
      <c r="V413" s="981"/>
      <c r="W413" s="981"/>
      <c r="X413" s="979"/>
    </row>
    <row r="414" spans="1:24" s="8" customFormat="1" ht="24">
      <c r="B414" s="653">
        <v>8</v>
      </c>
      <c r="C414" s="647" t="s">
        <v>34</v>
      </c>
      <c r="D414" s="930" t="s">
        <v>371</v>
      </c>
      <c r="E414" s="1005"/>
      <c r="F414" s="1005"/>
      <c r="G414" s="1019"/>
      <c r="H414" s="980"/>
      <c r="I414" s="980"/>
      <c r="J414" s="980"/>
      <c r="K414" s="980"/>
      <c r="L414" s="1005"/>
      <c r="M414" s="981"/>
      <c r="N414" s="981"/>
      <c r="O414" s="979"/>
      <c r="P414" s="981"/>
      <c r="Q414" s="981"/>
      <c r="R414" s="981"/>
      <c r="S414" s="981"/>
      <c r="T414" s="981"/>
      <c r="U414" s="981"/>
      <c r="V414" s="981"/>
      <c r="W414" s="981"/>
      <c r="X414" s="979"/>
    </row>
    <row r="415" spans="1:24" s="8" customFormat="1" ht="48">
      <c r="B415" s="653">
        <v>9</v>
      </c>
      <c r="C415" s="647" t="s">
        <v>34</v>
      </c>
      <c r="D415" s="930" t="s">
        <v>372</v>
      </c>
      <c r="E415" s="1005">
        <f t="shared" si="45"/>
        <v>585360</v>
      </c>
      <c r="F415" s="1005">
        <f t="shared" si="46"/>
        <v>300000</v>
      </c>
      <c r="G415" s="1019">
        <v>300000</v>
      </c>
      <c r="H415" s="980"/>
      <c r="I415" s="980"/>
      <c r="J415" s="980"/>
      <c r="K415" s="980"/>
      <c r="L415" s="1005">
        <f t="shared" si="47"/>
        <v>285360</v>
      </c>
      <c r="M415" s="981">
        <v>148080</v>
      </c>
      <c r="N415" s="981"/>
      <c r="O415" s="979"/>
      <c r="P415" s="981"/>
      <c r="Q415" s="981"/>
      <c r="R415" s="981"/>
      <c r="S415" s="981"/>
      <c r="T415" s="981"/>
      <c r="U415" s="981">
        <v>135220</v>
      </c>
      <c r="V415" s="981"/>
      <c r="W415" s="981"/>
      <c r="X415" s="979">
        <v>2060</v>
      </c>
    </row>
    <row r="416" spans="1:24" s="8" customFormat="1" ht="96">
      <c r="B416" s="653">
        <v>10</v>
      </c>
      <c r="C416" s="647" t="s">
        <v>34</v>
      </c>
      <c r="D416" s="930" t="s">
        <v>624</v>
      </c>
      <c r="E416" s="1005">
        <f t="shared" si="45"/>
        <v>186466</v>
      </c>
      <c r="F416" s="1005">
        <f t="shared" si="46"/>
        <v>150000</v>
      </c>
      <c r="G416" s="1002">
        <v>150000</v>
      </c>
      <c r="H416" s="980"/>
      <c r="I416" s="980"/>
      <c r="J416" s="980"/>
      <c r="K416" s="980"/>
      <c r="L416" s="1005">
        <f t="shared" si="47"/>
        <v>36466</v>
      </c>
      <c r="M416" s="981"/>
      <c r="N416" s="981"/>
      <c r="O416" s="979"/>
      <c r="P416" s="981"/>
      <c r="Q416" s="981">
        <v>4176</v>
      </c>
      <c r="R416" s="981">
        <v>7790</v>
      </c>
      <c r="S416" s="981"/>
      <c r="T416" s="981">
        <v>3520</v>
      </c>
      <c r="U416" s="981">
        <v>10000</v>
      </c>
      <c r="V416" s="981"/>
      <c r="W416" s="981"/>
      <c r="X416" s="979">
        <v>10980</v>
      </c>
    </row>
    <row r="417" spans="1:24" s="8" customFormat="1" ht="24">
      <c r="B417" s="653">
        <v>11</v>
      </c>
      <c r="C417" s="647" t="s">
        <v>34</v>
      </c>
      <c r="D417" s="930" t="s">
        <v>374</v>
      </c>
      <c r="E417" s="1005">
        <f t="shared" si="45"/>
        <v>100410</v>
      </c>
      <c r="F417" s="1005">
        <f t="shared" si="46"/>
        <v>30000</v>
      </c>
      <c r="G417" s="979">
        <v>30000</v>
      </c>
      <c r="H417" s="980"/>
      <c r="I417" s="980"/>
      <c r="J417" s="980"/>
      <c r="K417" s="980"/>
      <c r="L417" s="1005">
        <f t="shared" si="47"/>
        <v>70410</v>
      </c>
      <c r="M417" s="981"/>
      <c r="N417" s="981">
        <v>2500</v>
      </c>
      <c r="O417" s="979">
        <v>2400</v>
      </c>
      <c r="P417" s="981">
        <v>5410</v>
      </c>
      <c r="Q417" s="981">
        <v>1600</v>
      </c>
      <c r="R417" s="981"/>
      <c r="S417" s="981">
        <v>20000</v>
      </c>
      <c r="T417" s="979"/>
      <c r="U417" s="981">
        <v>35000</v>
      </c>
      <c r="V417" s="981"/>
      <c r="W417" s="981">
        <v>3000</v>
      </c>
      <c r="X417" s="979">
        <v>500</v>
      </c>
    </row>
    <row r="418" spans="1:24" s="8" customFormat="1">
      <c r="B418" s="653">
        <v>12</v>
      </c>
      <c r="C418" s="647" t="s">
        <v>34</v>
      </c>
      <c r="D418" s="931" t="s">
        <v>375</v>
      </c>
      <c r="E418" s="1005">
        <f t="shared" si="45"/>
        <v>20000</v>
      </c>
      <c r="F418" s="1005">
        <f t="shared" si="46"/>
        <v>20000</v>
      </c>
      <c r="G418" s="979">
        <v>20000</v>
      </c>
      <c r="H418" s="980"/>
      <c r="I418" s="980"/>
      <c r="J418" s="980"/>
      <c r="K418" s="980"/>
      <c r="L418" s="1005">
        <f t="shared" si="47"/>
        <v>0</v>
      </c>
      <c r="M418" s="981"/>
      <c r="N418" s="981"/>
      <c r="O418" s="979"/>
      <c r="P418" s="981"/>
      <c r="Q418" s="981"/>
      <c r="R418" s="981"/>
      <c r="S418" s="981"/>
      <c r="T418" s="981"/>
      <c r="U418" s="981"/>
      <c r="V418" s="981"/>
      <c r="W418" s="981"/>
      <c r="X418" s="979"/>
    </row>
    <row r="419" spans="1:24" s="8" customFormat="1" ht="36">
      <c r="B419" s="653">
        <v>13</v>
      </c>
      <c r="C419" s="647" t="s">
        <v>34</v>
      </c>
      <c r="D419" s="683" t="s">
        <v>713</v>
      </c>
      <c r="E419" s="1005"/>
      <c r="F419" s="1005"/>
      <c r="G419" s="979"/>
      <c r="H419" s="980"/>
      <c r="I419" s="980"/>
      <c r="J419" s="980"/>
      <c r="K419" s="980"/>
      <c r="L419" s="1005"/>
      <c r="M419" s="981"/>
      <c r="N419" s="981"/>
      <c r="O419" s="979"/>
      <c r="P419" s="981"/>
      <c r="Q419" s="981"/>
      <c r="R419" s="981"/>
      <c r="S419" s="981"/>
      <c r="T419" s="981"/>
      <c r="U419" s="981"/>
      <c r="V419" s="981"/>
      <c r="W419" s="981"/>
      <c r="X419" s="979"/>
    </row>
    <row r="420" spans="1:24" s="8" customFormat="1" ht="24">
      <c r="B420" s="653">
        <v>14</v>
      </c>
      <c r="C420" s="647" t="s">
        <v>34</v>
      </c>
      <c r="D420" s="932" t="s">
        <v>377</v>
      </c>
      <c r="E420" s="1005"/>
      <c r="F420" s="1005"/>
      <c r="G420" s="979"/>
      <c r="H420" s="980"/>
      <c r="I420" s="980"/>
      <c r="J420" s="980"/>
      <c r="K420" s="980"/>
      <c r="L420" s="1005"/>
      <c r="M420" s="981"/>
      <c r="N420" s="981"/>
      <c r="O420" s="979"/>
      <c r="P420" s="981"/>
      <c r="Q420" s="981"/>
      <c r="R420" s="981"/>
      <c r="S420" s="981"/>
      <c r="T420" s="981"/>
      <c r="U420" s="981"/>
      <c r="V420" s="981"/>
      <c r="W420" s="981"/>
      <c r="X420" s="979"/>
    </row>
    <row r="421" spans="1:24" s="23" customFormat="1" ht="48">
      <c r="B421" s="653">
        <v>15</v>
      </c>
      <c r="C421" s="647" t="s">
        <v>34</v>
      </c>
      <c r="D421" s="930" t="s">
        <v>378</v>
      </c>
      <c r="E421" s="1005"/>
      <c r="F421" s="1005"/>
      <c r="G421" s="979"/>
      <c r="H421" s="980"/>
      <c r="I421" s="980"/>
      <c r="J421" s="980"/>
      <c r="K421" s="980"/>
      <c r="L421" s="1005"/>
      <c r="M421" s="979"/>
      <c r="N421" s="979"/>
      <c r="O421" s="979"/>
      <c r="P421" s="979"/>
      <c r="Q421" s="979"/>
      <c r="R421" s="979"/>
      <c r="S421" s="979"/>
      <c r="T421" s="979"/>
      <c r="U421" s="979"/>
      <c r="V421" s="979"/>
      <c r="W421" s="979"/>
      <c r="X421" s="979"/>
    </row>
    <row r="422" spans="1:24" s="8" customFormat="1" ht="36">
      <c r="B422" s="653">
        <v>16</v>
      </c>
      <c r="C422" s="647" t="s">
        <v>34</v>
      </c>
      <c r="D422" s="930" t="s">
        <v>379</v>
      </c>
      <c r="E422" s="1005">
        <f t="shared" si="45"/>
        <v>150000</v>
      </c>
      <c r="F422" s="1005">
        <f t="shared" si="46"/>
        <v>150000</v>
      </c>
      <c r="G422" s="979">
        <v>150000</v>
      </c>
      <c r="H422" s="980"/>
      <c r="I422" s="980"/>
      <c r="J422" s="980"/>
      <c r="K422" s="980"/>
      <c r="L422" s="1005">
        <f t="shared" si="47"/>
        <v>0</v>
      </c>
      <c r="M422" s="981"/>
      <c r="N422" s="981"/>
      <c r="O422" s="979"/>
      <c r="P422" s="981"/>
      <c r="Q422" s="981"/>
      <c r="R422" s="981"/>
      <c r="S422" s="981"/>
      <c r="T422" s="981"/>
      <c r="U422" s="981"/>
      <c r="V422" s="981"/>
      <c r="W422" s="981"/>
      <c r="X422" s="979"/>
    </row>
    <row r="423" spans="1:24" s="8" customFormat="1" ht="36">
      <c r="B423" s="653">
        <v>17</v>
      </c>
      <c r="C423" s="647" t="s">
        <v>34</v>
      </c>
      <c r="D423" s="933" t="s">
        <v>380</v>
      </c>
      <c r="E423" s="1005">
        <f t="shared" si="45"/>
        <v>150000</v>
      </c>
      <c r="F423" s="1005">
        <f t="shared" si="46"/>
        <v>150000</v>
      </c>
      <c r="G423" s="979">
        <v>150000</v>
      </c>
      <c r="H423" s="980"/>
      <c r="I423" s="980"/>
      <c r="J423" s="980"/>
      <c r="K423" s="980"/>
      <c r="L423" s="1005">
        <f t="shared" si="47"/>
        <v>0</v>
      </c>
      <c r="M423" s="981"/>
      <c r="N423" s="981"/>
      <c r="O423" s="979"/>
      <c r="P423" s="981"/>
      <c r="Q423" s="981"/>
      <c r="R423" s="981"/>
      <c r="S423" s="981"/>
      <c r="T423" s="981"/>
      <c r="U423" s="981"/>
      <c r="V423" s="981"/>
      <c r="W423" s="981"/>
      <c r="X423" s="979"/>
    </row>
    <row r="424" spans="1:24" s="8" customFormat="1" ht="24">
      <c r="B424" s="654">
        <v>18</v>
      </c>
      <c r="C424" s="647" t="s">
        <v>34</v>
      </c>
      <c r="D424" s="934" t="s">
        <v>714</v>
      </c>
      <c r="E424" s="1005"/>
      <c r="F424" s="1005"/>
      <c r="G424" s="979"/>
      <c r="H424" s="980"/>
      <c r="I424" s="980"/>
      <c r="J424" s="980"/>
      <c r="K424" s="980"/>
      <c r="L424" s="1005"/>
      <c r="M424" s="981"/>
      <c r="N424" s="981"/>
      <c r="O424" s="979"/>
      <c r="P424" s="981"/>
      <c r="Q424" s="981"/>
      <c r="R424" s="981"/>
      <c r="S424" s="981"/>
      <c r="T424" s="981"/>
      <c r="U424" s="981"/>
      <c r="V424" s="981"/>
      <c r="W424" s="981"/>
      <c r="X424" s="979"/>
    </row>
    <row r="425" spans="1:24" s="8" customFormat="1">
      <c r="B425" s="606">
        <v>19</v>
      </c>
      <c r="C425" s="647" t="s">
        <v>34</v>
      </c>
      <c r="D425" s="935" t="s">
        <v>382</v>
      </c>
      <c r="E425" s="1005">
        <f t="shared" si="45"/>
        <v>120650</v>
      </c>
      <c r="F425" s="1005">
        <f t="shared" si="46"/>
        <v>50000</v>
      </c>
      <c r="G425" s="979">
        <v>50000</v>
      </c>
      <c r="H425" s="980"/>
      <c r="I425" s="980"/>
      <c r="J425" s="980"/>
      <c r="K425" s="980"/>
      <c r="L425" s="1005">
        <f t="shared" si="47"/>
        <v>70650</v>
      </c>
      <c r="M425" s="979"/>
      <c r="N425" s="979"/>
      <c r="O425" s="979"/>
      <c r="P425" s="981">
        <v>12800</v>
      </c>
      <c r="Q425" s="979">
        <v>5400</v>
      </c>
      <c r="R425" s="979"/>
      <c r="S425" s="979">
        <v>8000</v>
      </c>
      <c r="T425" s="981">
        <v>2700</v>
      </c>
      <c r="U425" s="979">
        <v>6000</v>
      </c>
      <c r="V425" s="1002">
        <v>5950</v>
      </c>
      <c r="W425" s="979">
        <v>22800</v>
      </c>
      <c r="X425" s="979">
        <v>7000</v>
      </c>
    </row>
    <row r="426" spans="1:24" s="8" customFormat="1">
      <c r="B426" s="606">
        <v>20</v>
      </c>
      <c r="C426" s="647" t="s">
        <v>34</v>
      </c>
      <c r="D426" s="935" t="s">
        <v>383</v>
      </c>
      <c r="E426" s="1005">
        <f t="shared" si="45"/>
        <v>431800</v>
      </c>
      <c r="F426" s="1005">
        <f t="shared" si="46"/>
        <v>250000</v>
      </c>
      <c r="G426" s="979">
        <v>250000</v>
      </c>
      <c r="H426" s="980"/>
      <c r="I426" s="980"/>
      <c r="J426" s="980"/>
      <c r="K426" s="980"/>
      <c r="L426" s="1005">
        <f t="shared" si="47"/>
        <v>181800</v>
      </c>
      <c r="M426" s="979"/>
      <c r="N426" s="979"/>
      <c r="O426" s="979"/>
      <c r="P426" s="979">
        <v>21000</v>
      </c>
      <c r="Q426" s="979">
        <v>30000</v>
      </c>
      <c r="R426" s="979"/>
      <c r="S426" s="979">
        <v>27000</v>
      </c>
      <c r="T426" s="981">
        <v>9000</v>
      </c>
      <c r="U426" s="979">
        <v>29500</v>
      </c>
      <c r="V426" s="1002">
        <v>12500</v>
      </c>
      <c r="W426" s="979">
        <v>34800</v>
      </c>
      <c r="X426" s="979">
        <v>18000</v>
      </c>
    </row>
    <row r="427" spans="1:24" s="8" customFormat="1" ht="48">
      <c r="B427" s="606">
        <v>21</v>
      </c>
      <c r="C427" s="647" t="s">
        <v>34</v>
      </c>
      <c r="D427" s="936" t="s">
        <v>384</v>
      </c>
      <c r="E427" s="1005"/>
      <c r="F427" s="1005"/>
      <c r="G427" s="979"/>
      <c r="H427" s="980"/>
      <c r="I427" s="980"/>
      <c r="J427" s="980"/>
      <c r="K427" s="980"/>
      <c r="L427" s="1005"/>
      <c r="M427" s="981"/>
      <c r="N427" s="979"/>
      <c r="O427" s="979"/>
      <c r="P427" s="979"/>
      <c r="Q427" s="979"/>
      <c r="R427" s="979"/>
      <c r="S427" s="979"/>
      <c r="T427" s="979"/>
      <c r="U427" s="979"/>
      <c r="V427" s="979"/>
      <c r="W427" s="979"/>
      <c r="X427" s="979"/>
    </row>
    <row r="428" spans="1:24" s="8" customFormat="1" ht="36">
      <c r="B428" s="606">
        <v>22</v>
      </c>
      <c r="C428" s="647" t="s">
        <v>34</v>
      </c>
      <c r="D428" s="937" t="s">
        <v>716</v>
      </c>
      <c r="E428" s="1005">
        <f t="shared" si="45"/>
        <v>55600</v>
      </c>
      <c r="F428" s="1005">
        <f t="shared" si="46"/>
        <v>0</v>
      </c>
      <c r="G428" s="979"/>
      <c r="H428" s="980"/>
      <c r="I428" s="980"/>
      <c r="J428" s="980"/>
      <c r="K428" s="980"/>
      <c r="L428" s="1005">
        <f t="shared" si="47"/>
        <v>55600</v>
      </c>
      <c r="M428" s="979">
        <v>55600</v>
      </c>
      <c r="N428" s="979"/>
      <c r="O428" s="979"/>
      <c r="P428" s="979"/>
      <c r="Q428" s="979"/>
      <c r="R428" s="979"/>
      <c r="S428" s="979"/>
      <c r="T428" s="979"/>
      <c r="U428" s="979"/>
      <c r="V428" s="979"/>
      <c r="W428" s="979"/>
      <c r="X428" s="979"/>
    </row>
    <row r="429" spans="1:24" s="5" customFormat="1" ht="24">
      <c r="A429" s="5">
        <v>12</v>
      </c>
      <c r="B429" s="655">
        <v>12</v>
      </c>
      <c r="C429" s="640" t="s">
        <v>34</v>
      </c>
      <c r="D429" s="938" t="s">
        <v>22</v>
      </c>
      <c r="E429" s="990">
        <f t="shared" si="45"/>
        <v>1885552.2</v>
      </c>
      <c r="F429" s="990">
        <f t="shared" si="46"/>
        <v>380000</v>
      </c>
      <c r="G429" s="974">
        <f>SUM(G430:G440)</f>
        <v>380000</v>
      </c>
      <c r="H429" s="975">
        <f t="shared" ref="H429:X429" si="51">SUM(H430:H440)</f>
        <v>0</v>
      </c>
      <c r="I429" s="975">
        <f t="shared" si="51"/>
        <v>0</v>
      </c>
      <c r="J429" s="975">
        <f t="shared" si="51"/>
        <v>0</v>
      </c>
      <c r="K429" s="975">
        <f t="shared" si="51"/>
        <v>0</v>
      </c>
      <c r="L429" s="990">
        <f t="shared" si="47"/>
        <v>1505552.2</v>
      </c>
      <c r="M429" s="974">
        <f t="shared" si="51"/>
        <v>486181</v>
      </c>
      <c r="N429" s="974">
        <f t="shared" si="51"/>
        <v>37314</v>
      </c>
      <c r="O429" s="974">
        <f t="shared" si="51"/>
        <v>21344</v>
      </c>
      <c r="P429" s="974">
        <f t="shared" si="51"/>
        <v>109438</v>
      </c>
      <c r="Q429" s="974">
        <f t="shared" si="51"/>
        <v>139600</v>
      </c>
      <c r="R429" s="974">
        <f t="shared" si="51"/>
        <v>41214.199999999997</v>
      </c>
      <c r="S429" s="974">
        <f t="shared" si="51"/>
        <v>109104</v>
      </c>
      <c r="T429" s="974">
        <f t="shared" si="51"/>
        <v>178678</v>
      </c>
      <c r="U429" s="974">
        <f t="shared" si="51"/>
        <v>152939</v>
      </c>
      <c r="V429" s="974">
        <f t="shared" si="51"/>
        <v>110300</v>
      </c>
      <c r="W429" s="974">
        <f t="shared" si="51"/>
        <v>58700</v>
      </c>
      <c r="X429" s="974">
        <f t="shared" si="51"/>
        <v>60740</v>
      </c>
    </row>
    <row r="430" spans="1:24" s="8" customFormat="1" ht="60">
      <c r="B430" s="618">
        <v>1</v>
      </c>
      <c r="C430" s="647" t="s">
        <v>34</v>
      </c>
      <c r="D430" s="939" t="s">
        <v>715</v>
      </c>
      <c r="E430" s="1005"/>
      <c r="F430" s="1005"/>
      <c r="G430" s="981"/>
      <c r="H430" s="980"/>
      <c r="I430" s="980"/>
      <c r="J430" s="980"/>
      <c r="K430" s="980"/>
      <c r="L430" s="1005"/>
      <c r="M430" s="981"/>
      <c r="N430" s="981"/>
      <c r="O430" s="979"/>
      <c r="P430" s="981"/>
      <c r="Q430" s="981"/>
      <c r="R430" s="981"/>
      <c r="S430" s="981"/>
      <c r="T430" s="981"/>
      <c r="U430" s="981"/>
      <c r="V430" s="981"/>
      <c r="W430" s="981"/>
      <c r="X430" s="981"/>
    </row>
    <row r="431" spans="1:24" s="8" customFormat="1" ht="36">
      <c r="B431" s="618">
        <v>2</v>
      </c>
      <c r="C431" s="647" t="s">
        <v>34</v>
      </c>
      <c r="D431" s="940" t="s">
        <v>503</v>
      </c>
      <c r="E431" s="1005">
        <f t="shared" si="45"/>
        <v>41280</v>
      </c>
      <c r="F431" s="1005">
        <f t="shared" si="46"/>
        <v>41280</v>
      </c>
      <c r="G431" s="981">
        <v>41280</v>
      </c>
      <c r="H431" s="980"/>
      <c r="I431" s="980"/>
      <c r="J431" s="980"/>
      <c r="K431" s="980"/>
      <c r="L431" s="1005">
        <f t="shared" si="47"/>
        <v>0</v>
      </c>
      <c r="M431" s="981"/>
      <c r="N431" s="981"/>
      <c r="O431" s="979"/>
      <c r="P431" s="981"/>
      <c r="Q431" s="981"/>
      <c r="R431" s="981"/>
      <c r="S431" s="981"/>
      <c r="T431" s="981"/>
      <c r="U431" s="981"/>
      <c r="V431" s="981"/>
      <c r="W431" s="981"/>
      <c r="X431" s="981"/>
    </row>
    <row r="432" spans="1:24" s="8" customFormat="1" ht="60">
      <c r="B432" s="618">
        <v>3</v>
      </c>
      <c r="C432" s="647" t="s">
        <v>34</v>
      </c>
      <c r="D432" s="936" t="s">
        <v>54</v>
      </c>
      <c r="E432" s="1005"/>
      <c r="F432" s="1005"/>
      <c r="G432" s="981"/>
      <c r="H432" s="980"/>
      <c r="I432" s="980"/>
      <c r="J432" s="980"/>
      <c r="K432" s="980"/>
      <c r="L432" s="1005"/>
      <c r="M432" s="981"/>
      <c r="N432" s="981"/>
      <c r="O432" s="979"/>
      <c r="P432" s="981"/>
      <c r="Q432" s="981"/>
      <c r="R432" s="981"/>
      <c r="S432" s="981"/>
      <c r="T432" s="981"/>
      <c r="U432" s="981"/>
      <c r="V432" s="981"/>
      <c r="W432" s="981"/>
      <c r="X432" s="981"/>
    </row>
    <row r="433" spans="1:24" s="8" customFormat="1" ht="60">
      <c r="B433" s="618">
        <v>4</v>
      </c>
      <c r="C433" s="647" t="s">
        <v>34</v>
      </c>
      <c r="D433" s="936" t="s">
        <v>55</v>
      </c>
      <c r="E433" s="1005"/>
      <c r="F433" s="1005"/>
      <c r="G433" s="981"/>
      <c r="H433" s="980"/>
      <c r="I433" s="980"/>
      <c r="J433" s="980"/>
      <c r="K433" s="980"/>
      <c r="L433" s="1005"/>
      <c r="M433" s="981"/>
      <c r="N433" s="981"/>
      <c r="O433" s="979"/>
      <c r="P433" s="981"/>
      <c r="Q433" s="981"/>
      <c r="R433" s="981"/>
      <c r="S433" s="981"/>
      <c r="T433" s="981"/>
      <c r="U433" s="981"/>
      <c r="V433" s="981"/>
      <c r="W433" s="981"/>
      <c r="X433" s="981"/>
    </row>
    <row r="434" spans="1:24" s="8" customFormat="1" ht="24">
      <c r="B434" s="618">
        <v>5</v>
      </c>
      <c r="C434" s="647" t="s">
        <v>34</v>
      </c>
      <c r="D434" s="941" t="s">
        <v>433</v>
      </c>
      <c r="E434" s="1005">
        <f t="shared" si="45"/>
        <v>276929</v>
      </c>
      <c r="F434" s="1005">
        <f t="shared" si="46"/>
        <v>157740</v>
      </c>
      <c r="G434" s="981">
        <v>157740</v>
      </c>
      <c r="H434" s="980"/>
      <c r="I434" s="980"/>
      <c r="J434" s="980"/>
      <c r="K434" s="980"/>
      <c r="L434" s="1005">
        <f t="shared" si="47"/>
        <v>119189</v>
      </c>
      <c r="M434" s="981"/>
      <c r="N434" s="979"/>
      <c r="O434" s="981"/>
      <c r="P434" s="981">
        <v>14720</v>
      </c>
      <c r="Q434" s="981">
        <v>10000</v>
      </c>
      <c r="R434" s="981">
        <v>8680</v>
      </c>
      <c r="S434" s="981">
        <v>3000</v>
      </c>
      <c r="T434" s="981">
        <v>22380</v>
      </c>
      <c r="U434" s="981">
        <v>44129</v>
      </c>
      <c r="V434" s="981">
        <v>7500</v>
      </c>
      <c r="W434" s="981">
        <v>1440</v>
      </c>
      <c r="X434" s="981">
        <v>7340</v>
      </c>
    </row>
    <row r="435" spans="1:24" s="8" customFormat="1" ht="48">
      <c r="B435" s="618">
        <v>6</v>
      </c>
      <c r="C435" s="647" t="s">
        <v>34</v>
      </c>
      <c r="D435" s="936" t="s">
        <v>504</v>
      </c>
      <c r="E435" s="1005">
        <f t="shared" si="45"/>
        <v>20000</v>
      </c>
      <c r="F435" s="1005">
        <f t="shared" si="46"/>
        <v>10000</v>
      </c>
      <c r="G435" s="981">
        <v>10000</v>
      </c>
      <c r="H435" s="980"/>
      <c r="I435" s="980"/>
      <c r="J435" s="980"/>
      <c r="K435" s="980"/>
      <c r="L435" s="1005">
        <f t="shared" si="47"/>
        <v>10000</v>
      </c>
      <c r="M435" s="981"/>
      <c r="N435" s="981"/>
      <c r="O435" s="979"/>
      <c r="P435" s="981">
        <v>10000</v>
      </c>
      <c r="Q435" s="981"/>
      <c r="R435" s="981"/>
      <c r="S435" s="981"/>
      <c r="T435" s="981"/>
      <c r="U435" s="981"/>
      <c r="V435" s="981"/>
      <c r="W435" s="981"/>
      <c r="X435" s="981"/>
    </row>
    <row r="436" spans="1:24" s="8" customFormat="1" ht="24">
      <c r="B436" s="618">
        <v>7</v>
      </c>
      <c r="C436" s="647" t="s">
        <v>34</v>
      </c>
      <c r="D436" s="936" t="s">
        <v>56</v>
      </c>
      <c r="E436" s="1005">
        <f t="shared" si="45"/>
        <v>111450</v>
      </c>
      <c r="F436" s="1005">
        <f t="shared" si="46"/>
        <v>70980</v>
      </c>
      <c r="G436" s="981">
        <v>70980</v>
      </c>
      <c r="H436" s="980"/>
      <c r="I436" s="980"/>
      <c r="J436" s="980"/>
      <c r="K436" s="980"/>
      <c r="L436" s="1005">
        <f t="shared" si="47"/>
        <v>40470</v>
      </c>
      <c r="M436" s="981">
        <v>6900</v>
      </c>
      <c r="N436" s="981"/>
      <c r="O436" s="979">
        <v>1180</v>
      </c>
      <c r="P436" s="981">
        <v>4600</v>
      </c>
      <c r="Q436" s="981">
        <v>3000</v>
      </c>
      <c r="R436" s="981">
        <v>1270</v>
      </c>
      <c r="S436" s="981"/>
      <c r="T436" s="981">
        <v>3500</v>
      </c>
      <c r="U436" s="981">
        <v>12760</v>
      </c>
      <c r="V436" s="981">
        <v>2800</v>
      </c>
      <c r="W436" s="981">
        <v>2160</v>
      </c>
      <c r="X436" s="981">
        <v>2300</v>
      </c>
    </row>
    <row r="437" spans="1:24" s="8" customFormat="1" ht="24">
      <c r="B437" s="618">
        <v>8</v>
      </c>
      <c r="C437" s="647" t="s">
        <v>34</v>
      </c>
      <c r="D437" s="936" t="s">
        <v>505</v>
      </c>
      <c r="E437" s="1005">
        <f t="shared" si="45"/>
        <v>6088</v>
      </c>
      <c r="F437" s="1005">
        <f t="shared" si="46"/>
        <v>0</v>
      </c>
      <c r="G437" s="981"/>
      <c r="H437" s="980"/>
      <c r="I437" s="980"/>
      <c r="J437" s="980"/>
      <c r="K437" s="980"/>
      <c r="L437" s="1005">
        <f t="shared" si="47"/>
        <v>6088</v>
      </c>
      <c r="M437" s="981">
        <v>538</v>
      </c>
      <c r="N437" s="981"/>
      <c r="O437" s="979">
        <v>1000</v>
      </c>
      <c r="P437" s="981"/>
      <c r="Q437" s="981">
        <v>1600</v>
      </c>
      <c r="R437" s="981"/>
      <c r="S437" s="981"/>
      <c r="T437" s="981"/>
      <c r="U437" s="981">
        <v>750</v>
      </c>
      <c r="V437" s="981"/>
      <c r="W437" s="981">
        <v>1200</v>
      </c>
      <c r="X437" s="981">
        <v>1000</v>
      </c>
    </row>
    <row r="438" spans="1:24" s="8" customFormat="1" ht="36">
      <c r="B438" s="618">
        <v>9</v>
      </c>
      <c r="C438" s="647" t="s">
        <v>34</v>
      </c>
      <c r="D438" s="936" t="s">
        <v>506</v>
      </c>
      <c r="E438" s="1005">
        <f t="shared" ref="E438:E455" si="52">F438+L438</f>
        <v>32704</v>
      </c>
      <c r="F438" s="1005">
        <f t="shared" ref="F438:F453" si="53">SUM(G438:K438)</f>
        <v>0</v>
      </c>
      <c r="G438" s="979"/>
      <c r="H438" s="980"/>
      <c r="I438" s="980"/>
      <c r="J438" s="980"/>
      <c r="K438" s="980"/>
      <c r="L438" s="1005">
        <f t="shared" ref="L438:L500" si="54">SUM(M438:X438)</f>
        <v>32704</v>
      </c>
      <c r="M438" s="979">
        <v>5540</v>
      </c>
      <c r="N438" s="979">
        <v>8000</v>
      </c>
      <c r="O438" s="979">
        <v>19164</v>
      </c>
      <c r="P438" s="979"/>
      <c r="Q438" s="979"/>
      <c r="R438" s="979"/>
      <c r="S438" s="979"/>
      <c r="T438" s="979"/>
      <c r="U438" s="979"/>
      <c r="V438" s="979"/>
      <c r="W438" s="979"/>
      <c r="X438" s="979"/>
    </row>
    <row r="439" spans="1:24" s="8" customFormat="1">
      <c r="B439" s="618">
        <v>10</v>
      </c>
      <c r="C439" s="647" t="s">
        <v>34</v>
      </c>
      <c r="D439" s="942" t="s">
        <v>292</v>
      </c>
      <c r="E439" s="1005">
        <f t="shared" si="52"/>
        <v>1397101.2</v>
      </c>
      <c r="F439" s="1005">
        <f t="shared" si="53"/>
        <v>100000</v>
      </c>
      <c r="G439" s="979">
        <v>100000</v>
      </c>
      <c r="H439" s="980"/>
      <c r="I439" s="980"/>
      <c r="J439" s="980"/>
      <c r="K439" s="980"/>
      <c r="L439" s="1005">
        <f t="shared" si="54"/>
        <v>1297101.2</v>
      </c>
      <c r="M439" s="979">
        <v>473203</v>
      </c>
      <c r="N439" s="979">
        <v>29314</v>
      </c>
      <c r="O439" s="979"/>
      <c r="P439" s="979">
        <v>80118</v>
      </c>
      <c r="Q439" s="979">
        <v>125000</v>
      </c>
      <c r="R439" s="979">
        <v>31264.2</v>
      </c>
      <c r="S439" s="979">
        <v>106104</v>
      </c>
      <c r="T439" s="979">
        <v>152798</v>
      </c>
      <c r="U439" s="979">
        <v>95300</v>
      </c>
      <c r="V439" s="979">
        <v>100000</v>
      </c>
      <c r="W439" s="979">
        <v>53900</v>
      </c>
      <c r="X439" s="979">
        <v>50100</v>
      </c>
    </row>
    <row r="440" spans="1:24" s="8" customFormat="1">
      <c r="B440" s="618">
        <v>11</v>
      </c>
      <c r="C440" s="647" t="s">
        <v>34</v>
      </c>
      <c r="D440" s="942" t="s">
        <v>291</v>
      </c>
      <c r="E440" s="1005">
        <f t="shared" si="52"/>
        <v>0</v>
      </c>
      <c r="F440" s="1005">
        <f t="shared" si="53"/>
        <v>0</v>
      </c>
      <c r="G440" s="979"/>
      <c r="H440" s="980"/>
      <c r="I440" s="980"/>
      <c r="J440" s="980"/>
      <c r="K440" s="980"/>
      <c r="L440" s="1005">
        <f t="shared" si="54"/>
        <v>0</v>
      </c>
      <c r="M440" s="979"/>
      <c r="N440" s="979"/>
      <c r="O440" s="979"/>
      <c r="P440" s="979"/>
      <c r="Q440" s="979"/>
      <c r="R440" s="979"/>
      <c r="S440" s="979"/>
      <c r="T440" s="979"/>
      <c r="U440" s="979"/>
      <c r="V440" s="979"/>
      <c r="W440" s="979"/>
      <c r="X440" s="979"/>
    </row>
    <row r="441" spans="1:24" s="5" customFormat="1" ht="24">
      <c r="A441" s="5">
        <v>13</v>
      </c>
      <c r="B441" s="597">
        <v>13</v>
      </c>
      <c r="C441" s="656" t="s">
        <v>582</v>
      </c>
      <c r="D441" s="943" t="s">
        <v>256</v>
      </c>
      <c r="E441" s="973">
        <f t="shared" si="52"/>
        <v>100000</v>
      </c>
      <c r="F441" s="973">
        <f t="shared" si="53"/>
        <v>100000</v>
      </c>
      <c r="G441" s="974">
        <f>SUM(G442)</f>
        <v>0</v>
      </c>
      <c r="H441" s="975">
        <f t="shared" ref="H441:X441" si="55">SUM(H442)</f>
        <v>0</v>
      </c>
      <c r="I441" s="975">
        <f t="shared" si="55"/>
        <v>0</v>
      </c>
      <c r="J441" s="975">
        <f t="shared" si="55"/>
        <v>100000</v>
      </c>
      <c r="K441" s="975">
        <f t="shared" si="55"/>
        <v>0</v>
      </c>
      <c r="L441" s="973">
        <f t="shared" si="54"/>
        <v>0</v>
      </c>
      <c r="M441" s="974">
        <f t="shared" si="55"/>
        <v>0</v>
      </c>
      <c r="N441" s="974">
        <f t="shared" si="55"/>
        <v>0</v>
      </c>
      <c r="O441" s="974">
        <f t="shared" si="55"/>
        <v>0</v>
      </c>
      <c r="P441" s="974">
        <f t="shared" si="55"/>
        <v>0</v>
      </c>
      <c r="Q441" s="974">
        <f t="shared" si="55"/>
        <v>0</v>
      </c>
      <c r="R441" s="974">
        <f t="shared" si="55"/>
        <v>0</v>
      </c>
      <c r="S441" s="974">
        <f t="shared" si="55"/>
        <v>0</v>
      </c>
      <c r="T441" s="974">
        <f t="shared" si="55"/>
        <v>0</v>
      </c>
      <c r="U441" s="974">
        <f t="shared" si="55"/>
        <v>0</v>
      </c>
      <c r="V441" s="974">
        <f t="shared" si="55"/>
        <v>0</v>
      </c>
      <c r="W441" s="974">
        <f t="shared" si="55"/>
        <v>0</v>
      </c>
      <c r="X441" s="974">
        <f t="shared" si="55"/>
        <v>0</v>
      </c>
    </row>
    <row r="442" spans="1:24" s="8" customFormat="1" ht="24">
      <c r="B442" s="39">
        <v>1</v>
      </c>
      <c r="C442" s="669" t="s">
        <v>582</v>
      </c>
      <c r="D442" s="944" t="s">
        <v>573</v>
      </c>
      <c r="E442" s="1010">
        <f t="shared" si="52"/>
        <v>100000</v>
      </c>
      <c r="F442" s="1010">
        <f t="shared" si="53"/>
        <v>100000</v>
      </c>
      <c r="G442" s="1031"/>
      <c r="H442" s="999"/>
      <c r="I442" s="999"/>
      <c r="J442" s="1042">
        <v>100000</v>
      </c>
      <c r="K442" s="999"/>
      <c r="L442" s="1010">
        <f t="shared" si="54"/>
        <v>0</v>
      </c>
      <c r="M442" s="1031"/>
      <c r="N442" s="1031"/>
      <c r="O442" s="1031"/>
      <c r="P442" s="1031"/>
      <c r="Q442" s="1031"/>
      <c r="R442" s="1031"/>
      <c r="S442" s="1031"/>
      <c r="T442" s="1031"/>
      <c r="U442" s="1031"/>
      <c r="V442" s="1031"/>
      <c r="W442" s="1031"/>
      <c r="X442" s="1031"/>
    </row>
    <row r="443" spans="1:24" s="5" customFormat="1" ht="24">
      <c r="A443" s="5">
        <v>14</v>
      </c>
      <c r="B443" s="597">
        <v>14</v>
      </c>
      <c r="C443" s="656" t="s">
        <v>582</v>
      </c>
      <c r="D443" s="943" t="s">
        <v>239</v>
      </c>
      <c r="E443" s="973">
        <f t="shared" si="52"/>
        <v>104920</v>
      </c>
      <c r="F443" s="973">
        <f t="shared" si="53"/>
        <v>104920</v>
      </c>
      <c r="G443" s="974">
        <f>SUM(G444:G446)</f>
        <v>0</v>
      </c>
      <c r="H443" s="975">
        <f t="shared" ref="H443:X443" si="56">SUM(H444:H446)</f>
        <v>0</v>
      </c>
      <c r="I443" s="975">
        <f t="shared" si="56"/>
        <v>0</v>
      </c>
      <c r="J443" s="975">
        <f t="shared" si="56"/>
        <v>104920</v>
      </c>
      <c r="K443" s="975">
        <f t="shared" si="56"/>
        <v>0</v>
      </c>
      <c r="L443" s="973">
        <f t="shared" si="54"/>
        <v>0</v>
      </c>
      <c r="M443" s="974">
        <f t="shared" si="56"/>
        <v>0</v>
      </c>
      <c r="N443" s="974">
        <f t="shared" si="56"/>
        <v>0</v>
      </c>
      <c r="O443" s="974">
        <f t="shared" si="56"/>
        <v>0</v>
      </c>
      <c r="P443" s="974">
        <f t="shared" si="56"/>
        <v>0</v>
      </c>
      <c r="Q443" s="974">
        <f t="shared" si="56"/>
        <v>0</v>
      </c>
      <c r="R443" s="974">
        <f t="shared" si="56"/>
        <v>0</v>
      </c>
      <c r="S443" s="974">
        <f t="shared" si="56"/>
        <v>0</v>
      </c>
      <c r="T443" s="974">
        <f t="shared" si="56"/>
        <v>0</v>
      </c>
      <c r="U443" s="974">
        <f t="shared" si="56"/>
        <v>0</v>
      </c>
      <c r="V443" s="974">
        <f t="shared" si="56"/>
        <v>0</v>
      </c>
      <c r="W443" s="974">
        <f t="shared" si="56"/>
        <v>0</v>
      </c>
      <c r="X443" s="974">
        <f t="shared" si="56"/>
        <v>0</v>
      </c>
    </row>
    <row r="444" spans="1:24" s="10" customFormat="1" ht="24">
      <c r="B444" s="66">
        <v>1</v>
      </c>
      <c r="C444" s="669" t="s">
        <v>582</v>
      </c>
      <c r="D444" s="944" t="s">
        <v>574</v>
      </c>
      <c r="E444" s="1010">
        <f t="shared" si="52"/>
        <v>78180</v>
      </c>
      <c r="F444" s="1010">
        <f t="shared" si="53"/>
        <v>78180</v>
      </c>
      <c r="G444" s="1039"/>
      <c r="H444" s="1043"/>
      <c r="I444" s="1043"/>
      <c r="J444" s="999">
        <v>78180</v>
      </c>
      <c r="K444" s="1043"/>
      <c r="L444" s="1010">
        <f t="shared" si="54"/>
        <v>0</v>
      </c>
      <c r="M444" s="1039"/>
      <c r="N444" s="1039"/>
      <c r="O444" s="1039"/>
      <c r="P444" s="1039"/>
      <c r="Q444" s="1039"/>
      <c r="R444" s="1039"/>
      <c r="S444" s="1039"/>
      <c r="T444" s="1039"/>
      <c r="U444" s="1039"/>
      <c r="V444" s="1039"/>
      <c r="W444" s="1039"/>
      <c r="X444" s="1039"/>
    </row>
    <row r="445" spans="1:24" s="16" customFormat="1" ht="36">
      <c r="B445" s="66">
        <v>2</v>
      </c>
      <c r="C445" s="669" t="s">
        <v>582</v>
      </c>
      <c r="D445" s="945" t="s">
        <v>575</v>
      </c>
      <c r="E445" s="1010">
        <f t="shared" si="52"/>
        <v>16420</v>
      </c>
      <c r="F445" s="1010">
        <f t="shared" si="53"/>
        <v>16420</v>
      </c>
      <c r="G445" s="1032"/>
      <c r="H445" s="1044"/>
      <c r="I445" s="1044"/>
      <c r="J445" s="1045">
        <v>16420</v>
      </c>
      <c r="K445" s="1044"/>
      <c r="L445" s="1010">
        <f t="shared" si="54"/>
        <v>0</v>
      </c>
      <c r="M445" s="1032"/>
      <c r="N445" s="1032"/>
      <c r="O445" s="1032"/>
      <c r="P445" s="1032"/>
      <c r="Q445" s="1032"/>
      <c r="R445" s="1032"/>
      <c r="S445" s="1032"/>
      <c r="T445" s="1032"/>
      <c r="U445" s="1032"/>
      <c r="V445" s="1032"/>
      <c r="W445" s="1032"/>
      <c r="X445" s="1032"/>
    </row>
    <row r="446" spans="1:24" s="16" customFormat="1" ht="24">
      <c r="B446" s="66">
        <v>3</v>
      </c>
      <c r="C446" s="669" t="s">
        <v>582</v>
      </c>
      <c r="D446" s="944" t="s">
        <v>227</v>
      </c>
      <c r="E446" s="1010">
        <f t="shared" si="52"/>
        <v>10320</v>
      </c>
      <c r="F446" s="1010">
        <f t="shared" si="53"/>
        <v>10320</v>
      </c>
      <c r="G446" s="1032"/>
      <c r="H446" s="1044"/>
      <c r="I446" s="1044"/>
      <c r="J446" s="1045">
        <v>10320</v>
      </c>
      <c r="K446" s="1044"/>
      <c r="L446" s="1010">
        <f t="shared" si="54"/>
        <v>0</v>
      </c>
      <c r="M446" s="1032"/>
      <c r="N446" s="1032"/>
      <c r="O446" s="1032"/>
      <c r="P446" s="1032"/>
      <c r="Q446" s="1032"/>
      <c r="R446" s="1032"/>
      <c r="S446" s="1032"/>
      <c r="T446" s="1032"/>
      <c r="U446" s="1032"/>
      <c r="V446" s="1032"/>
      <c r="W446" s="1032"/>
      <c r="X446" s="1032"/>
    </row>
    <row r="447" spans="1:24" s="22" customFormat="1" ht="36">
      <c r="A447" s="22">
        <v>15</v>
      </c>
      <c r="B447" s="639">
        <v>15</v>
      </c>
      <c r="C447" s="640" t="s">
        <v>34</v>
      </c>
      <c r="D447" s="946" t="s">
        <v>32</v>
      </c>
      <c r="E447" s="990">
        <f t="shared" si="52"/>
        <v>492069</v>
      </c>
      <c r="F447" s="990">
        <f t="shared" si="53"/>
        <v>217000</v>
      </c>
      <c r="G447" s="974">
        <f>SUM(G448:G458)</f>
        <v>217000</v>
      </c>
      <c r="H447" s="975">
        <f>SUM(H448:H458)</f>
        <v>0</v>
      </c>
      <c r="I447" s="975">
        <f>SUM(I448:I458)</f>
        <v>0</v>
      </c>
      <c r="J447" s="975">
        <f>SUM(J448:J458)</f>
        <v>0</v>
      </c>
      <c r="K447" s="975">
        <f>SUM(K448:K458)</f>
        <v>0</v>
      </c>
      <c r="L447" s="990">
        <f t="shared" si="54"/>
        <v>275069</v>
      </c>
      <c r="M447" s="974">
        <f t="shared" ref="M447:X447" si="57">SUM(M448:M458)</f>
        <v>14200</v>
      </c>
      <c r="N447" s="974">
        <f t="shared" si="57"/>
        <v>20500</v>
      </c>
      <c r="O447" s="974">
        <f t="shared" si="57"/>
        <v>27080</v>
      </c>
      <c r="P447" s="974">
        <f t="shared" si="57"/>
        <v>34836</v>
      </c>
      <c r="Q447" s="974">
        <f t="shared" si="57"/>
        <v>48736</v>
      </c>
      <c r="R447" s="974">
        <f t="shared" si="57"/>
        <v>19930</v>
      </c>
      <c r="S447" s="974">
        <f t="shared" si="57"/>
        <v>23560</v>
      </c>
      <c r="T447" s="974">
        <f t="shared" si="57"/>
        <v>1220</v>
      </c>
      <c r="U447" s="974">
        <f t="shared" si="57"/>
        <v>17950</v>
      </c>
      <c r="V447" s="974">
        <f t="shared" si="57"/>
        <v>27000</v>
      </c>
      <c r="W447" s="974">
        <f t="shared" si="57"/>
        <v>22997</v>
      </c>
      <c r="X447" s="974">
        <f t="shared" si="57"/>
        <v>17060</v>
      </c>
    </row>
    <row r="448" spans="1:24" s="67" customFormat="1" ht="36">
      <c r="B448" s="606">
        <v>1</v>
      </c>
      <c r="C448" s="647" t="s">
        <v>34</v>
      </c>
      <c r="D448" s="947" t="s">
        <v>335</v>
      </c>
      <c r="E448" s="1005">
        <f t="shared" si="52"/>
        <v>50000</v>
      </c>
      <c r="F448" s="1005">
        <f t="shared" si="53"/>
        <v>50000</v>
      </c>
      <c r="G448" s="979">
        <v>50000</v>
      </c>
      <c r="H448" s="984"/>
      <c r="I448" s="984"/>
      <c r="J448" s="984"/>
      <c r="K448" s="984"/>
      <c r="L448" s="1005">
        <f t="shared" si="54"/>
        <v>0</v>
      </c>
      <c r="M448" s="983"/>
      <c r="N448" s="983"/>
      <c r="O448" s="983"/>
      <c r="P448" s="983"/>
      <c r="Q448" s="983"/>
      <c r="R448" s="983"/>
      <c r="S448" s="983"/>
      <c r="T448" s="983"/>
      <c r="U448" s="983"/>
      <c r="V448" s="983"/>
      <c r="W448" s="983"/>
      <c r="X448" s="983"/>
    </row>
    <row r="449" spans="1:24" s="67" customFormat="1" ht="24">
      <c r="B449" s="606">
        <v>2</v>
      </c>
      <c r="C449" s="647" t="s">
        <v>34</v>
      </c>
      <c r="D449" s="947" t="s">
        <v>336</v>
      </c>
      <c r="E449" s="1005"/>
      <c r="F449" s="1005"/>
      <c r="G449" s="979"/>
      <c r="H449" s="984"/>
      <c r="I449" s="984"/>
      <c r="J449" s="984"/>
      <c r="K449" s="984"/>
      <c r="L449" s="1005"/>
      <c r="M449" s="983"/>
      <c r="N449" s="983"/>
      <c r="O449" s="983"/>
      <c r="P449" s="983"/>
      <c r="Q449" s="983"/>
      <c r="R449" s="983"/>
      <c r="S449" s="983"/>
      <c r="T449" s="983"/>
      <c r="U449" s="983"/>
      <c r="V449" s="983"/>
      <c r="W449" s="983"/>
      <c r="X449" s="983"/>
    </row>
    <row r="450" spans="1:24" s="67" customFormat="1" ht="24">
      <c r="B450" s="606">
        <v>3</v>
      </c>
      <c r="C450" s="647" t="s">
        <v>34</v>
      </c>
      <c r="D450" s="947" t="s">
        <v>337</v>
      </c>
      <c r="E450" s="1005">
        <f t="shared" si="52"/>
        <v>167000</v>
      </c>
      <c r="F450" s="1005">
        <f t="shared" si="53"/>
        <v>167000</v>
      </c>
      <c r="G450" s="979">
        <v>167000</v>
      </c>
      <c r="H450" s="984"/>
      <c r="I450" s="984"/>
      <c r="J450" s="984"/>
      <c r="K450" s="984"/>
      <c r="L450" s="1005">
        <f t="shared" si="54"/>
        <v>0</v>
      </c>
      <c r="M450" s="983"/>
      <c r="N450" s="983"/>
      <c r="O450" s="983"/>
      <c r="P450" s="983"/>
      <c r="Q450" s="983"/>
      <c r="R450" s="983"/>
      <c r="S450" s="983"/>
      <c r="T450" s="983"/>
      <c r="U450" s="983"/>
      <c r="V450" s="983"/>
      <c r="W450" s="983"/>
      <c r="X450" s="983"/>
    </row>
    <row r="451" spans="1:24" s="67" customFormat="1">
      <c r="B451" s="606">
        <v>4</v>
      </c>
      <c r="C451" s="647" t="s">
        <v>34</v>
      </c>
      <c r="D451" s="942" t="s">
        <v>291</v>
      </c>
      <c r="E451" s="1005">
        <f t="shared" si="52"/>
        <v>0</v>
      </c>
      <c r="F451" s="1005">
        <f t="shared" si="53"/>
        <v>0</v>
      </c>
      <c r="G451" s="983"/>
      <c r="H451" s="984"/>
      <c r="I451" s="984"/>
      <c r="J451" s="984"/>
      <c r="K451" s="984"/>
      <c r="L451" s="1005">
        <f t="shared" si="54"/>
        <v>0</v>
      </c>
      <c r="M451" s="983"/>
      <c r="N451" s="983"/>
      <c r="O451" s="983"/>
      <c r="P451" s="983"/>
      <c r="Q451" s="983"/>
      <c r="R451" s="983"/>
      <c r="S451" s="983"/>
      <c r="T451" s="983"/>
      <c r="U451" s="983"/>
      <c r="V451" s="983"/>
      <c r="W451" s="983"/>
      <c r="X451" s="983"/>
    </row>
    <row r="452" spans="1:24" s="67" customFormat="1" ht="60">
      <c r="B452" s="606">
        <v>5</v>
      </c>
      <c r="C452" s="647" t="s">
        <v>34</v>
      </c>
      <c r="D452" s="948" t="s">
        <v>190</v>
      </c>
      <c r="E452" s="1005">
        <f t="shared" si="52"/>
        <v>116850</v>
      </c>
      <c r="F452" s="1005">
        <f t="shared" si="53"/>
        <v>0</v>
      </c>
      <c r="G452" s="983"/>
      <c r="H452" s="984"/>
      <c r="I452" s="984"/>
      <c r="J452" s="984"/>
      <c r="K452" s="984"/>
      <c r="L452" s="1005">
        <f t="shared" si="54"/>
        <v>116850</v>
      </c>
      <c r="M452" s="981">
        <v>11120</v>
      </c>
      <c r="N452" s="981">
        <v>12000</v>
      </c>
      <c r="O452" s="981">
        <v>25160</v>
      </c>
      <c r="P452" s="981">
        <v>6000</v>
      </c>
      <c r="Q452" s="981">
        <v>0</v>
      </c>
      <c r="R452" s="981">
        <v>1840</v>
      </c>
      <c r="S452" s="981">
        <v>20520</v>
      </c>
      <c r="T452" s="981">
        <v>1220</v>
      </c>
      <c r="U452" s="981">
        <v>4390</v>
      </c>
      <c r="V452" s="981">
        <f>14000+3000</f>
        <v>17000</v>
      </c>
      <c r="W452" s="981">
        <f>3520+2920</f>
        <v>6440</v>
      </c>
      <c r="X452" s="981">
        <v>11160</v>
      </c>
    </row>
    <row r="453" spans="1:24" s="67" customFormat="1" ht="48">
      <c r="B453" s="606">
        <v>6</v>
      </c>
      <c r="C453" s="647" t="s">
        <v>34</v>
      </c>
      <c r="D453" s="949" t="s">
        <v>719</v>
      </c>
      <c r="E453" s="1005">
        <f t="shared" si="52"/>
        <v>49648</v>
      </c>
      <c r="F453" s="1005">
        <f t="shared" si="53"/>
        <v>0</v>
      </c>
      <c r="G453" s="983"/>
      <c r="H453" s="984"/>
      <c r="I453" s="984"/>
      <c r="J453" s="984"/>
      <c r="K453" s="984"/>
      <c r="L453" s="1005">
        <f t="shared" si="54"/>
        <v>49648</v>
      </c>
      <c r="M453" s="981">
        <v>3080</v>
      </c>
      <c r="N453" s="981">
        <v>3500</v>
      </c>
      <c r="O453" s="981">
        <v>1920</v>
      </c>
      <c r="P453" s="981">
        <v>2400</v>
      </c>
      <c r="Q453" s="981">
        <v>0</v>
      </c>
      <c r="R453" s="981">
        <v>8290</v>
      </c>
      <c r="S453" s="981">
        <v>3040</v>
      </c>
      <c r="T453" s="981"/>
      <c r="U453" s="981">
        <v>13200</v>
      </c>
      <c r="V453" s="981">
        <v>1000</v>
      </c>
      <c r="W453" s="981">
        <f>4518+1360+1440</f>
        <v>7318</v>
      </c>
      <c r="X453" s="981">
        <v>5900</v>
      </c>
    </row>
    <row r="454" spans="1:24" s="67" customFormat="1" ht="72">
      <c r="B454" s="606">
        <v>7</v>
      </c>
      <c r="C454" s="647" t="s">
        <v>34</v>
      </c>
      <c r="D454" s="949" t="s">
        <v>718</v>
      </c>
      <c r="E454" s="1005"/>
      <c r="F454" s="1005"/>
      <c r="G454" s="983"/>
      <c r="H454" s="984"/>
      <c r="I454" s="984"/>
      <c r="J454" s="984"/>
      <c r="K454" s="984"/>
      <c r="L454" s="1005"/>
      <c r="M454" s="981"/>
      <c r="N454" s="981"/>
      <c r="O454" s="981"/>
      <c r="P454" s="981"/>
      <c r="Q454" s="981"/>
      <c r="R454" s="981"/>
      <c r="S454" s="981"/>
      <c r="T454" s="981"/>
      <c r="U454" s="981"/>
      <c r="V454" s="981"/>
      <c r="W454" s="981"/>
      <c r="X454" s="981"/>
    </row>
    <row r="455" spans="1:24" s="67" customFormat="1" ht="72">
      <c r="B455" s="606">
        <v>8</v>
      </c>
      <c r="C455" s="647" t="s">
        <v>34</v>
      </c>
      <c r="D455" s="949" t="s">
        <v>717</v>
      </c>
      <c r="E455" s="1005">
        <f t="shared" si="52"/>
        <v>79835</v>
      </c>
      <c r="F455" s="1005">
        <f>SUM(G455:K455)</f>
        <v>0</v>
      </c>
      <c r="G455" s="983"/>
      <c r="H455" s="984"/>
      <c r="I455" s="984"/>
      <c r="J455" s="984"/>
      <c r="K455" s="984"/>
      <c r="L455" s="1005">
        <f t="shared" si="54"/>
        <v>79835</v>
      </c>
      <c r="M455" s="981"/>
      <c r="N455" s="981">
        <v>5000</v>
      </c>
      <c r="O455" s="981"/>
      <c r="P455" s="981">
        <v>13436</v>
      </c>
      <c r="Q455" s="981">
        <v>42000</v>
      </c>
      <c r="R455" s="981">
        <v>9800</v>
      </c>
      <c r="S455" s="981"/>
      <c r="T455" s="981"/>
      <c r="U455" s="981">
        <v>360</v>
      </c>
      <c r="V455" s="981"/>
      <c r="W455" s="981">
        <f>4500+30+2250+9+2450</f>
        <v>9239</v>
      </c>
      <c r="X455" s="1046"/>
    </row>
    <row r="456" spans="1:24" s="67" customFormat="1" ht="48">
      <c r="B456" s="606">
        <v>10</v>
      </c>
      <c r="C456" s="647" t="s">
        <v>34</v>
      </c>
      <c r="D456" s="950" t="s">
        <v>356</v>
      </c>
      <c r="E456" s="1005">
        <f t="shared" ref="E456:E510" si="58">F456+L456</f>
        <v>2560</v>
      </c>
      <c r="F456" s="1005">
        <f t="shared" ref="F456:F510" si="59">SUM(G456:K456)</f>
        <v>0</v>
      </c>
      <c r="G456" s="983"/>
      <c r="H456" s="984"/>
      <c r="I456" s="984"/>
      <c r="J456" s="984"/>
      <c r="K456" s="984"/>
      <c r="L456" s="1005">
        <f t="shared" si="54"/>
        <v>2560</v>
      </c>
      <c r="M456" s="981"/>
      <c r="N456" s="981"/>
      <c r="O456" s="981"/>
      <c r="P456" s="981"/>
      <c r="Q456" s="981">
        <v>2560</v>
      </c>
      <c r="R456" s="981"/>
      <c r="S456" s="981"/>
      <c r="T456" s="981"/>
      <c r="U456" s="1046"/>
      <c r="V456" s="981"/>
      <c r="W456" s="981"/>
      <c r="X456" s="1046"/>
    </row>
    <row r="457" spans="1:24" s="67" customFormat="1" ht="108">
      <c r="B457" s="606">
        <v>11</v>
      </c>
      <c r="C457" s="647" t="s">
        <v>34</v>
      </c>
      <c r="D457" s="951" t="s">
        <v>357</v>
      </c>
      <c r="E457" s="1005">
        <f t="shared" si="58"/>
        <v>4176</v>
      </c>
      <c r="F457" s="1005">
        <f t="shared" si="59"/>
        <v>0</v>
      </c>
      <c r="G457" s="983"/>
      <c r="H457" s="984"/>
      <c r="I457" s="984"/>
      <c r="J457" s="984"/>
      <c r="K457" s="984"/>
      <c r="L457" s="1005">
        <f t="shared" si="54"/>
        <v>4176</v>
      </c>
      <c r="M457" s="981"/>
      <c r="N457" s="981"/>
      <c r="O457" s="981"/>
      <c r="P457" s="981"/>
      <c r="Q457" s="981">
        <v>4176</v>
      </c>
      <c r="R457" s="981"/>
      <c r="S457" s="981"/>
      <c r="T457" s="981"/>
      <c r="U457" s="1046"/>
      <c r="V457" s="981"/>
      <c r="W457" s="981"/>
      <c r="X457" s="1046"/>
    </row>
    <row r="458" spans="1:24" s="67" customFormat="1" ht="24">
      <c r="B458" s="606">
        <v>12</v>
      </c>
      <c r="C458" s="647" t="s">
        <v>34</v>
      </c>
      <c r="D458" s="948" t="s">
        <v>205</v>
      </c>
      <c r="E458" s="1005">
        <f t="shared" si="58"/>
        <v>22000</v>
      </c>
      <c r="F458" s="1005">
        <f t="shared" si="59"/>
        <v>0</v>
      </c>
      <c r="G458" s="983"/>
      <c r="H458" s="984"/>
      <c r="I458" s="984"/>
      <c r="J458" s="984"/>
      <c r="K458" s="984"/>
      <c r="L458" s="1005">
        <f t="shared" si="54"/>
        <v>22000</v>
      </c>
      <c r="M458" s="1002"/>
      <c r="N458" s="1046"/>
      <c r="O458" s="1046"/>
      <c r="P458" s="981">
        <v>13000</v>
      </c>
      <c r="Q458" s="981">
        <v>0</v>
      </c>
      <c r="R458" s="1046"/>
      <c r="S458" s="1046"/>
      <c r="T458" s="1046"/>
      <c r="U458" s="1046"/>
      <c r="V458" s="981">
        <v>9000</v>
      </c>
      <c r="W458" s="1046"/>
      <c r="X458" s="1046"/>
    </row>
    <row r="459" spans="1:24" s="9" customFormat="1">
      <c r="A459" s="9">
        <v>16</v>
      </c>
      <c r="B459" s="639">
        <v>16</v>
      </c>
      <c r="C459" s="640" t="s">
        <v>34</v>
      </c>
      <c r="D459" s="946" t="s">
        <v>257</v>
      </c>
      <c r="E459" s="990">
        <f t="shared" si="58"/>
        <v>430000</v>
      </c>
      <c r="F459" s="990">
        <f t="shared" si="59"/>
        <v>430000</v>
      </c>
      <c r="G459" s="974">
        <f t="shared" ref="G459:X459" si="60">SUM(G460:G465)</f>
        <v>430000</v>
      </c>
      <c r="H459" s="975">
        <f t="shared" si="60"/>
        <v>0</v>
      </c>
      <c r="I459" s="975">
        <f t="shared" si="60"/>
        <v>0</v>
      </c>
      <c r="J459" s="975">
        <f t="shared" si="60"/>
        <v>0</v>
      </c>
      <c r="K459" s="975">
        <f t="shared" si="60"/>
        <v>0</v>
      </c>
      <c r="L459" s="990">
        <f t="shared" si="54"/>
        <v>0</v>
      </c>
      <c r="M459" s="974">
        <f t="shared" si="60"/>
        <v>0</v>
      </c>
      <c r="N459" s="974">
        <f t="shared" si="60"/>
        <v>0</v>
      </c>
      <c r="O459" s="974">
        <f t="shared" si="60"/>
        <v>0</v>
      </c>
      <c r="P459" s="974">
        <f t="shared" si="60"/>
        <v>0</v>
      </c>
      <c r="Q459" s="974">
        <f t="shared" si="60"/>
        <v>0</v>
      </c>
      <c r="R459" s="974">
        <f t="shared" si="60"/>
        <v>0</v>
      </c>
      <c r="S459" s="974">
        <f t="shared" si="60"/>
        <v>0</v>
      </c>
      <c r="T459" s="974">
        <f t="shared" si="60"/>
        <v>0</v>
      </c>
      <c r="U459" s="974">
        <f t="shared" si="60"/>
        <v>0</v>
      </c>
      <c r="V459" s="974">
        <f t="shared" si="60"/>
        <v>0</v>
      </c>
      <c r="W459" s="974">
        <f t="shared" si="60"/>
        <v>0</v>
      </c>
      <c r="X459" s="974">
        <f t="shared" si="60"/>
        <v>0</v>
      </c>
    </row>
    <row r="460" spans="1:24" s="16" customFormat="1" ht="24">
      <c r="B460" s="606">
        <v>1</v>
      </c>
      <c r="C460" s="647" t="s">
        <v>34</v>
      </c>
      <c r="D460" s="947" t="s">
        <v>191</v>
      </c>
      <c r="E460" s="1005">
        <f t="shared" si="58"/>
        <v>50000</v>
      </c>
      <c r="F460" s="1005">
        <f t="shared" si="59"/>
        <v>50000</v>
      </c>
      <c r="G460" s="983">
        <v>50000</v>
      </c>
      <c r="H460" s="984"/>
      <c r="I460" s="984"/>
      <c r="J460" s="984"/>
      <c r="K460" s="984"/>
      <c r="L460" s="1005">
        <f t="shared" si="54"/>
        <v>0</v>
      </c>
      <c r="M460" s="983"/>
      <c r="N460" s="983"/>
      <c r="O460" s="983"/>
      <c r="P460" s="983"/>
      <c r="Q460" s="983"/>
      <c r="R460" s="983"/>
      <c r="S460" s="983"/>
      <c r="T460" s="983"/>
      <c r="U460" s="983"/>
      <c r="V460" s="983"/>
      <c r="W460" s="983"/>
      <c r="X460" s="983"/>
    </row>
    <row r="461" spans="1:24" s="16" customFormat="1" ht="48">
      <c r="B461" s="606">
        <v>2</v>
      </c>
      <c r="C461" s="647" t="s">
        <v>34</v>
      </c>
      <c r="D461" s="947" t="s">
        <v>286</v>
      </c>
      <c r="E461" s="1005">
        <f t="shared" si="58"/>
        <v>320000</v>
      </c>
      <c r="F461" s="1005">
        <f t="shared" si="59"/>
        <v>320000</v>
      </c>
      <c r="G461" s="983">
        <v>320000</v>
      </c>
      <c r="H461" s="984"/>
      <c r="I461" s="984"/>
      <c r="J461" s="984"/>
      <c r="K461" s="984"/>
      <c r="L461" s="1005">
        <f t="shared" si="54"/>
        <v>0</v>
      </c>
      <c r="M461" s="983"/>
      <c r="N461" s="983"/>
      <c r="O461" s="983"/>
      <c r="P461" s="983"/>
      <c r="Q461" s="983"/>
      <c r="R461" s="983"/>
      <c r="S461" s="983"/>
      <c r="T461" s="983"/>
      <c r="U461" s="983"/>
      <c r="V461" s="983"/>
      <c r="W461" s="983"/>
      <c r="X461" s="983"/>
    </row>
    <row r="462" spans="1:24" s="16" customFormat="1" ht="24">
      <c r="B462" s="606">
        <v>3</v>
      </c>
      <c r="C462" s="647" t="s">
        <v>34</v>
      </c>
      <c r="D462" s="947" t="s">
        <v>192</v>
      </c>
      <c r="E462" s="1005">
        <f t="shared" si="58"/>
        <v>15000</v>
      </c>
      <c r="F462" s="1005">
        <f t="shared" si="59"/>
        <v>15000</v>
      </c>
      <c r="G462" s="983">
        <v>15000</v>
      </c>
      <c r="H462" s="984"/>
      <c r="I462" s="984"/>
      <c r="J462" s="984"/>
      <c r="K462" s="984"/>
      <c r="L462" s="1005">
        <f t="shared" si="54"/>
        <v>0</v>
      </c>
      <c r="M462" s="983"/>
      <c r="N462" s="983"/>
      <c r="O462" s="983"/>
      <c r="P462" s="983"/>
      <c r="Q462" s="983"/>
      <c r="R462" s="983"/>
      <c r="S462" s="983"/>
      <c r="T462" s="983"/>
      <c r="U462" s="983"/>
      <c r="V462" s="983"/>
      <c r="W462" s="983"/>
      <c r="X462" s="983"/>
    </row>
    <row r="463" spans="1:24" s="16" customFormat="1">
      <c r="B463" s="606">
        <v>4</v>
      </c>
      <c r="C463" s="647" t="s">
        <v>34</v>
      </c>
      <c r="D463" s="942" t="s">
        <v>290</v>
      </c>
      <c r="E463" s="1005">
        <f t="shared" si="58"/>
        <v>30000</v>
      </c>
      <c r="F463" s="1005">
        <f t="shared" si="59"/>
        <v>30000</v>
      </c>
      <c r="G463" s="983">
        <v>30000</v>
      </c>
      <c r="H463" s="984"/>
      <c r="I463" s="984"/>
      <c r="J463" s="984"/>
      <c r="K463" s="984"/>
      <c r="L463" s="1005">
        <f t="shared" si="54"/>
        <v>0</v>
      </c>
      <c r="M463" s="983"/>
      <c r="N463" s="983"/>
      <c r="O463" s="983"/>
      <c r="P463" s="983"/>
      <c r="Q463" s="983"/>
      <c r="R463" s="983"/>
      <c r="S463" s="983"/>
      <c r="T463" s="983"/>
      <c r="U463" s="983"/>
      <c r="V463" s="983"/>
      <c r="W463" s="983"/>
      <c r="X463" s="983"/>
    </row>
    <row r="464" spans="1:24" s="16" customFormat="1">
      <c r="B464" s="606">
        <v>5</v>
      </c>
      <c r="C464" s="647" t="s">
        <v>34</v>
      </c>
      <c r="D464" s="942" t="s">
        <v>292</v>
      </c>
      <c r="E464" s="1005">
        <f t="shared" si="58"/>
        <v>0</v>
      </c>
      <c r="F464" s="1005">
        <f t="shared" si="59"/>
        <v>0</v>
      </c>
      <c r="G464" s="983"/>
      <c r="H464" s="984"/>
      <c r="I464" s="984"/>
      <c r="J464" s="984"/>
      <c r="K464" s="984"/>
      <c r="L464" s="1005">
        <f t="shared" si="54"/>
        <v>0</v>
      </c>
      <c r="M464" s="983"/>
      <c r="N464" s="983"/>
      <c r="O464" s="983"/>
      <c r="P464" s="983"/>
      <c r="Q464" s="983"/>
      <c r="R464" s="983"/>
      <c r="S464" s="983"/>
      <c r="T464" s="983"/>
      <c r="U464" s="983"/>
      <c r="V464" s="983"/>
      <c r="W464" s="983"/>
      <c r="X464" s="983"/>
    </row>
    <row r="465" spans="1:24" s="16" customFormat="1">
      <c r="B465" s="606">
        <v>6</v>
      </c>
      <c r="C465" s="647" t="s">
        <v>34</v>
      </c>
      <c r="D465" s="942" t="s">
        <v>291</v>
      </c>
      <c r="E465" s="1005">
        <f t="shared" si="58"/>
        <v>15000</v>
      </c>
      <c r="F465" s="1005">
        <f t="shared" si="59"/>
        <v>15000</v>
      </c>
      <c r="G465" s="983">
        <v>15000</v>
      </c>
      <c r="H465" s="984"/>
      <c r="I465" s="984"/>
      <c r="J465" s="984"/>
      <c r="K465" s="984"/>
      <c r="L465" s="1005">
        <f t="shared" si="54"/>
        <v>0</v>
      </c>
      <c r="M465" s="983"/>
      <c r="N465" s="983"/>
      <c r="O465" s="983"/>
      <c r="P465" s="983"/>
      <c r="Q465" s="983"/>
      <c r="R465" s="983"/>
      <c r="S465" s="983"/>
      <c r="T465" s="983"/>
      <c r="U465" s="983"/>
      <c r="V465" s="983"/>
      <c r="W465" s="983"/>
      <c r="X465" s="983"/>
    </row>
    <row r="466" spans="1:24" s="22" customFormat="1" ht="36">
      <c r="A466" s="22">
        <v>17</v>
      </c>
      <c r="B466" s="639">
        <v>17</v>
      </c>
      <c r="C466" s="640" t="s">
        <v>34</v>
      </c>
      <c r="D466" s="946" t="s">
        <v>193</v>
      </c>
      <c r="E466" s="990">
        <f t="shared" si="58"/>
        <v>434616</v>
      </c>
      <c r="F466" s="990">
        <f t="shared" si="59"/>
        <v>180000</v>
      </c>
      <c r="G466" s="974">
        <f>SUM(G467:G476)</f>
        <v>180000</v>
      </c>
      <c r="H466" s="975">
        <f t="shared" ref="H466:X466" si="61">SUM(H467:H476)</f>
        <v>0</v>
      </c>
      <c r="I466" s="975">
        <f t="shared" si="61"/>
        <v>0</v>
      </c>
      <c r="J466" s="975">
        <f t="shared" si="61"/>
        <v>0</v>
      </c>
      <c r="K466" s="975">
        <f t="shared" si="61"/>
        <v>0</v>
      </c>
      <c r="L466" s="990">
        <f t="shared" si="54"/>
        <v>254616</v>
      </c>
      <c r="M466" s="974">
        <f t="shared" si="61"/>
        <v>17180</v>
      </c>
      <c r="N466" s="974">
        <f t="shared" si="61"/>
        <v>17000</v>
      </c>
      <c r="O466" s="974">
        <f t="shared" si="61"/>
        <v>19844</v>
      </c>
      <c r="P466" s="974">
        <f t="shared" si="61"/>
        <v>47240</v>
      </c>
      <c r="Q466" s="974">
        <f t="shared" si="61"/>
        <v>18077</v>
      </c>
      <c r="R466" s="974">
        <f t="shared" si="61"/>
        <v>17860</v>
      </c>
      <c r="S466" s="974">
        <f t="shared" si="61"/>
        <v>30560</v>
      </c>
      <c r="T466" s="974">
        <f t="shared" si="61"/>
        <v>35080</v>
      </c>
      <c r="U466" s="974">
        <f t="shared" si="61"/>
        <v>13175</v>
      </c>
      <c r="V466" s="974">
        <f t="shared" si="61"/>
        <v>20550</v>
      </c>
      <c r="W466" s="974">
        <f t="shared" si="61"/>
        <v>9260</v>
      </c>
      <c r="X466" s="974">
        <f t="shared" si="61"/>
        <v>8790</v>
      </c>
    </row>
    <row r="467" spans="1:24" s="67" customFormat="1" ht="60">
      <c r="B467" s="606">
        <v>1</v>
      </c>
      <c r="C467" s="647" t="s">
        <v>34</v>
      </c>
      <c r="D467" s="947" t="s">
        <v>341</v>
      </c>
      <c r="E467" s="1005">
        <f t="shared" si="58"/>
        <v>186669</v>
      </c>
      <c r="F467" s="1005">
        <f t="shared" si="59"/>
        <v>100000</v>
      </c>
      <c r="G467" s="983">
        <v>100000</v>
      </c>
      <c r="H467" s="984"/>
      <c r="I467" s="984"/>
      <c r="J467" s="984"/>
      <c r="K467" s="984"/>
      <c r="L467" s="1005">
        <f t="shared" si="54"/>
        <v>86669</v>
      </c>
      <c r="M467" s="981">
        <v>10160</v>
      </c>
      <c r="N467" s="981">
        <v>5000</v>
      </c>
      <c r="O467" s="981">
        <v>10394</v>
      </c>
      <c r="P467" s="981">
        <f>2400+24000</f>
        <v>26400</v>
      </c>
      <c r="Q467" s="981">
        <v>0</v>
      </c>
      <c r="R467" s="981">
        <v>14840</v>
      </c>
      <c r="S467" s="981"/>
      <c r="T467" s="981"/>
      <c r="U467" s="981">
        <v>8115</v>
      </c>
      <c r="V467" s="981">
        <v>5040</v>
      </c>
      <c r="W467" s="981">
        <f>1040+1120+1440</f>
        <v>3600</v>
      </c>
      <c r="X467" s="981">
        <v>3120</v>
      </c>
    </row>
    <row r="468" spans="1:24" s="67" customFormat="1" ht="48">
      <c r="B468" s="606">
        <v>2</v>
      </c>
      <c r="C468" s="647" t="s">
        <v>34</v>
      </c>
      <c r="D468" s="947" t="s">
        <v>342</v>
      </c>
      <c r="E468" s="1005">
        <f t="shared" si="58"/>
        <v>126941</v>
      </c>
      <c r="F468" s="1005">
        <f t="shared" si="59"/>
        <v>60000</v>
      </c>
      <c r="G468" s="983">
        <v>60000</v>
      </c>
      <c r="H468" s="984"/>
      <c r="I468" s="984"/>
      <c r="J468" s="984"/>
      <c r="K468" s="984"/>
      <c r="L468" s="1005">
        <f t="shared" si="54"/>
        <v>66941</v>
      </c>
      <c r="M468" s="981">
        <v>7020</v>
      </c>
      <c r="N468" s="981">
        <v>12000</v>
      </c>
      <c r="O468" s="981"/>
      <c r="P468" s="981">
        <v>12000</v>
      </c>
      <c r="Q468" s="981">
        <v>2961</v>
      </c>
      <c r="R468" s="981"/>
      <c r="S468" s="981">
        <v>4850</v>
      </c>
      <c r="T468" s="981">
        <v>11680</v>
      </c>
      <c r="U468" s="981">
        <v>0</v>
      </c>
      <c r="V468" s="981">
        <v>7950</v>
      </c>
      <c r="W468" s="981">
        <f>2800+2860</f>
        <v>5660</v>
      </c>
      <c r="X468" s="981">
        <v>2820</v>
      </c>
    </row>
    <row r="469" spans="1:24" s="67" customFormat="1" ht="36">
      <c r="B469" s="606">
        <v>3</v>
      </c>
      <c r="C469" s="647" t="s">
        <v>34</v>
      </c>
      <c r="D469" s="952" t="s">
        <v>343</v>
      </c>
      <c r="E469" s="1005">
        <f t="shared" si="58"/>
        <v>6600</v>
      </c>
      <c r="F469" s="1005">
        <f t="shared" si="59"/>
        <v>0</v>
      </c>
      <c r="G469" s="983"/>
      <c r="H469" s="984"/>
      <c r="I469" s="984"/>
      <c r="J469" s="984"/>
      <c r="K469" s="984"/>
      <c r="L469" s="1005">
        <f t="shared" si="54"/>
        <v>6600</v>
      </c>
      <c r="M469" s="981"/>
      <c r="N469" s="981"/>
      <c r="O469" s="981"/>
      <c r="P469" s="981"/>
      <c r="Q469" s="1002">
        <v>6600</v>
      </c>
      <c r="R469" s="981"/>
      <c r="S469" s="981"/>
      <c r="T469" s="981"/>
      <c r="U469" s="981"/>
      <c r="V469" s="981"/>
      <c r="W469" s="981"/>
      <c r="X469" s="981"/>
    </row>
    <row r="470" spans="1:24" s="67" customFormat="1" ht="24">
      <c r="B470" s="606">
        <v>4</v>
      </c>
      <c r="C470" s="647" t="s">
        <v>34</v>
      </c>
      <c r="D470" s="947" t="s">
        <v>344</v>
      </c>
      <c r="E470" s="1005">
        <f t="shared" si="58"/>
        <v>84856</v>
      </c>
      <c r="F470" s="1005">
        <f t="shared" si="59"/>
        <v>20000</v>
      </c>
      <c r="G470" s="983">
        <v>20000</v>
      </c>
      <c r="H470" s="984"/>
      <c r="I470" s="984"/>
      <c r="J470" s="984"/>
      <c r="K470" s="984"/>
      <c r="L470" s="1005">
        <f t="shared" si="54"/>
        <v>64856</v>
      </c>
      <c r="M470" s="981"/>
      <c r="N470" s="981"/>
      <c r="O470" s="981">
        <v>9450</v>
      </c>
      <c r="P470" s="981">
        <v>8840</v>
      </c>
      <c r="Q470" s="981">
        <v>3076</v>
      </c>
      <c r="R470" s="981">
        <v>3020</v>
      </c>
      <c r="S470" s="981">
        <v>1600</v>
      </c>
      <c r="T470" s="981">
        <v>23400</v>
      </c>
      <c r="U470" s="981">
        <v>5060</v>
      </c>
      <c r="V470" s="981">
        <v>7560</v>
      </c>
      <c r="W470" s="981"/>
      <c r="X470" s="981">
        <v>2850</v>
      </c>
    </row>
    <row r="471" spans="1:24" s="67" customFormat="1" ht="48">
      <c r="B471" s="606">
        <v>5</v>
      </c>
      <c r="C471" s="647" t="s">
        <v>34</v>
      </c>
      <c r="D471" s="952" t="s">
        <v>345</v>
      </c>
      <c r="E471" s="1005"/>
      <c r="F471" s="1005"/>
      <c r="G471" s="983"/>
      <c r="H471" s="984"/>
      <c r="I471" s="984"/>
      <c r="J471" s="984"/>
      <c r="K471" s="984"/>
      <c r="L471" s="1005"/>
      <c r="M471" s="981"/>
      <c r="N471" s="981"/>
      <c r="O471" s="981"/>
      <c r="P471" s="981"/>
      <c r="Q471" s="981"/>
      <c r="R471" s="981"/>
      <c r="S471" s="981"/>
      <c r="T471" s="981"/>
      <c r="U471" s="981"/>
      <c r="V471" s="981"/>
      <c r="W471" s="981"/>
      <c r="X471" s="979"/>
    </row>
    <row r="472" spans="1:24" s="67" customFormat="1" ht="24">
      <c r="B472" s="606">
        <v>6</v>
      </c>
      <c r="C472" s="647" t="s">
        <v>34</v>
      </c>
      <c r="D472" s="948" t="s">
        <v>208</v>
      </c>
      <c r="E472" s="1005">
        <f t="shared" si="58"/>
        <v>24110</v>
      </c>
      <c r="F472" s="1005">
        <f t="shared" si="59"/>
        <v>0</v>
      </c>
      <c r="G472" s="983"/>
      <c r="H472" s="984"/>
      <c r="I472" s="984"/>
      <c r="J472" s="984"/>
      <c r="K472" s="984"/>
      <c r="L472" s="1005">
        <f t="shared" si="54"/>
        <v>24110</v>
      </c>
      <c r="M472" s="981"/>
      <c r="N472" s="981"/>
      <c r="O472" s="981"/>
      <c r="P472" s="981"/>
      <c r="Q472" s="981"/>
      <c r="R472" s="981"/>
      <c r="S472" s="981">
        <v>24110</v>
      </c>
      <c r="T472" s="981"/>
      <c r="U472" s="981"/>
      <c r="V472" s="981"/>
      <c r="W472" s="981"/>
      <c r="X472" s="981">
        <v>0</v>
      </c>
    </row>
    <row r="473" spans="1:24" s="67" customFormat="1">
      <c r="B473" s="606">
        <v>7</v>
      </c>
      <c r="C473" s="647" t="s">
        <v>34</v>
      </c>
      <c r="D473" s="953" t="s">
        <v>720</v>
      </c>
      <c r="E473" s="1005">
        <f t="shared" si="58"/>
        <v>2560</v>
      </c>
      <c r="F473" s="1005">
        <f t="shared" si="59"/>
        <v>0</v>
      </c>
      <c r="G473" s="983"/>
      <c r="H473" s="984"/>
      <c r="I473" s="984"/>
      <c r="J473" s="984"/>
      <c r="K473" s="984"/>
      <c r="L473" s="1005">
        <f t="shared" si="54"/>
        <v>2560</v>
      </c>
      <c r="M473" s="981"/>
      <c r="N473" s="981"/>
      <c r="O473" s="981"/>
      <c r="P473" s="981"/>
      <c r="Q473" s="1002">
        <v>2560</v>
      </c>
      <c r="R473" s="981"/>
      <c r="S473" s="981"/>
      <c r="T473" s="981"/>
      <c r="U473" s="981"/>
      <c r="V473" s="981"/>
      <c r="W473" s="981"/>
      <c r="X473" s="981"/>
    </row>
    <row r="474" spans="1:24" s="67" customFormat="1" ht="36">
      <c r="B474" s="606">
        <v>8</v>
      </c>
      <c r="C474" s="647" t="s">
        <v>34</v>
      </c>
      <c r="D474" s="954" t="s">
        <v>722</v>
      </c>
      <c r="E474" s="1005">
        <f t="shared" si="58"/>
        <v>2880</v>
      </c>
      <c r="F474" s="1005">
        <f t="shared" si="59"/>
        <v>0</v>
      </c>
      <c r="G474" s="983"/>
      <c r="H474" s="984"/>
      <c r="I474" s="984"/>
      <c r="J474" s="984"/>
      <c r="K474" s="984"/>
      <c r="L474" s="1005">
        <f t="shared" si="54"/>
        <v>2880</v>
      </c>
      <c r="M474" s="981"/>
      <c r="N474" s="981"/>
      <c r="O474" s="981"/>
      <c r="P474" s="981"/>
      <c r="Q474" s="981">
        <v>2880</v>
      </c>
      <c r="R474" s="981"/>
      <c r="S474" s="981"/>
      <c r="T474" s="981"/>
      <c r="U474" s="981"/>
      <c r="V474" s="981"/>
      <c r="W474" s="981"/>
      <c r="X474" s="981"/>
    </row>
    <row r="475" spans="1:24" s="67" customFormat="1" ht="48">
      <c r="B475" s="606">
        <v>9</v>
      </c>
      <c r="C475" s="647" t="s">
        <v>34</v>
      </c>
      <c r="D475" s="955" t="s">
        <v>721</v>
      </c>
      <c r="E475" s="1005"/>
      <c r="F475" s="1005"/>
      <c r="G475" s="983"/>
      <c r="H475" s="984"/>
      <c r="I475" s="984"/>
      <c r="J475" s="984"/>
      <c r="K475" s="984"/>
      <c r="L475" s="1005"/>
      <c r="M475" s="981"/>
      <c r="N475" s="981"/>
      <c r="O475" s="981"/>
      <c r="P475" s="981"/>
      <c r="Q475" s="981"/>
      <c r="R475" s="981"/>
      <c r="S475" s="981"/>
      <c r="T475" s="981"/>
      <c r="U475" s="981"/>
      <c r="V475" s="981"/>
      <c r="W475" s="981"/>
      <c r="X475" s="981"/>
    </row>
    <row r="476" spans="1:24" s="67" customFormat="1" ht="24">
      <c r="B476" s="606">
        <v>10</v>
      </c>
      <c r="C476" s="647" t="s">
        <v>34</v>
      </c>
      <c r="D476" s="956" t="s">
        <v>361</v>
      </c>
      <c r="E476" s="1005"/>
      <c r="F476" s="1005"/>
      <c r="G476" s="983"/>
      <c r="H476" s="984"/>
      <c r="I476" s="984"/>
      <c r="J476" s="984"/>
      <c r="K476" s="984"/>
      <c r="L476" s="1005"/>
      <c r="M476" s="981"/>
      <c r="N476" s="981"/>
      <c r="O476" s="981"/>
      <c r="P476" s="981"/>
      <c r="Q476" s="1002"/>
      <c r="R476" s="981"/>
      <c r="S476" s="981"/>
      <c r="T476" s="981"/>
      <c r="U476" s="981"/>
      <c r="V476" s="981"/>
      <c r="W476" s="981"/>
      <c r="X476" s="981"/>
    </row>
    <row r="477" spans="1:24" s="22" customFormat="1">
      <c r="A477" s="22">
        <v>18</v>
      </c>
      <c r="B477" s="639">
        <v>18</v>
      </c>
      <c r="C477" s="640" t="s">
        <v>34</v>
      </c>
      <c r="D477" s="957" t="s">
        <v>33</v>
      </c>
      <c r="E477" s="990">
        <f t="shared" si="58"/>
        <v>848822</v>
      </c>
      <c r="F477" s="990">
        <f t="shared" si="59"/>
        <v>270000</v>
      </c>
      <c r="G477" s="974">
        <f>SUM(G478:G487)</f>
        <v>270000</v>
      </c>
      <c r="H477" s="975">
        <f t="shared" ref="H477:X477" si="62">SUM(H478:H487)</f>
        <v>0</v>
      </c>
      <c r="I477" s="975">
        <f t="shared" si="62"/>
        <v>0</v>
      </c>
      <c r="J477" s="975">
        <f t="shared" si="62"/>
        <v>0</v>
      </c>
      <c r="K477" s="975">
        <f t="shared" si="62"/>
        <v>0</v>
      </c>
      <c r="L477" s="990">
        <f t="shared" si="54"/>
        <v>578822</v>
      </c>
      <c r="M477" s="974">
        <f t="shared" si="62"/>
        <v>12040</v>
      </c>
      <c r="N477" s="974">
        <f t="shared" si="62"/>
        <v>58800</v>
      </c>
      <c r="O477" s="974">
        <f t="shared" si="62"/>
        <v>42090</v>
      </c>
      <c r="P477" s="974">
        <f t="shared" si="62"/>
        <v>77290</v>
      </c>
      <c r="Q477" s="974">
        <f t="shared" si="62"/>
        <v>60036</v>
      </c>
      <c r="R477" s="974">
        <f t="shared" si="62"/>
        <v>10920</v>
      </c>
      <c r="S477" s="974">
        <f t="shared" si="62"/>
        <v>37660</v>
      </c>
      <c r="T477" s="974">
        <f t="shared" si="62"/>
        <v>43400</v>
      </c>
      <c r="U477" s="974">
        <f t="shared" si="62"/>
        <v>47166</v>
      </c>
      <c r="V477" s="974">
        <f t="shared" si="62"/>
        <v>88970</v>
      </c>
      <c r="W477" s="974">
        <f t="shared" si="62"/>
        <v>73050</v>
      </c>
      <c r="X477" s="974">
        <f t="shared" si="62"/>
        <v>27400</v>
      </c>
    </row>
    <row r="478" spans="1:24" s="67" customFormat="1" ht="24">
      <c r="B478" s="606">
        <v>1</v>
      </c>
      <c r="C478" s="647" t="s">
        <v>34</v>
      </c>
      <c r="D478" s="958" t="s">
        <v>338</v>
      </c>
      <c r="E478" s="1005">
        <f t="shared" si="58"/>
        <v>206046</v>
      </c>
      <c r="F478" s="1005">
        <f t="shared" si="59"/>
        <v>70000</v>
      </c>
      <c r="G478" s="983">
        <v>70000</v>
      </c>
      <c r="H478" s="984"/>
      <c r="I478" s="984"/>
      <c r="J478" s="984"/>
      <c r="K478" s="984"/>
      <c r="L478" s="1005">
        <f t="shared" si="54"/>
        <v>136046</v>
      </c>
      <c r="M478" s="981">
        <v>10800</v>
      </c>
      <c r="N478" s="981">
        <v>17500</v>
      </c>
      <c r="O478" s="981">
        <v>25690</v>
      </c>
      <c r="P478" s="981">
        <v>32450</v>
      </c>
      <c r="Q478" s="981">
        <v>4176</v>
      </c>
      <c r="R478" s="981"/>
      <c r="S478" s="981">
        <v>5560</v>
      </c>
      <c r="T478" s="981">
        <v>2660</v>
      </c>
      <c r="U478" s="981">
        <v>9500</v>
      </c>
      <c r="V478" s="981">
        <f>3350+14060</f>
        <v>17410</v>
      </c>
      <c r="W478" s="981">
        <f>2550</f>
        <v>2550</v>
      </c>
      <c r="X478" s="981">
        <v>7750</v>
      </c>
    </row>
    <row r="479" spans="1:24" s="67" customFormat="1" ht="48">
      <c r="B479" s="606">
        <v>2</v>
      </c>
      <c r="C479" s="647" t="s">
        <v>34</v>
      </c>
      <c r="D479" s="908" t="s">
        <v>339</v>
      </c>
      <c r="E479" s="1005">
        <f t="shared" si="58"/>
        <v>215280</v>
      </c>
      <c r="F479" s="1005">
        <f t="shared" si="59"/>
        <v>180000</v>
      </c>
      <c r="G479" s="983">
        <v>180000</v>
      </c>
      <c r="H479" s="984"/>
      <c r="I479" s="984"/>
      <c r="J479" s="984"/>
      <c r="K479" s="984"/>
      <c r="L479" s="1005">
        <f t="shared" si="54"/>
        <v>35280</v>
      </c>
      <c r="M479" s="981"/>
      <c r="N479" s="981">
        <v>5000</v>
      </c>
      <c r="O479" s="981"/>
      <c r="P479" s="981">
        <v>1040</v>
      </c>
      <c r="Q479" s="981">
        <v>0</v>
      </c>
      <c r="R479" s="981">
        <v>10600</v>
      </c>
      <c r="S479" s="981">
        <v>4500</v>
      </c>
      <c r="T479" s="981">
        <v>1860</v>
      </c>
      <c r="U479" s="981">
        <v>5340</v>
      </c>
      <c r="V479" s="981">
        <v>5040</v>
      </c>
      <c r="W479" s="981"/>
      <c r="X479" s="981">
        <v>1900</v>
      </c>
    </row>
    <row r="480" spans="1:24" s="67" customFormat="1" ht="60">
      <c r="B480" s="606">
        <v>3</v>
      </c>
      <c r="C480" s="647" t="s">
        <v>34</v>
      </c>
      <c r="D480" s="908" t="s">
        <v>723</v>
      </c>
      <c r="E480" s="1005">
        <f t="shared" si="58"/>
        <v>95250</v>
      </c>
      <c r="F480" s="1005">
        <f t="shared" si="59"/>
        <v>20000</v>
      </c>
      <c r="G480" s="983">
        <v>20000</v>
      </c>
      <c r="H480" s="984"/>
      <c r="I480" s="984"/>
      <c r="J480" s="984"/>
      <c r="K480" s="984"/>
      <c r="L480" s="1005">
        <f t="shared" si="54"/>
        <v>75250</v>
      </c>
      <c r="M480" s="981">
        <v>1240</v>
      </c>
      <c r="N480" s="981">
        <v>11700</v>
      </c>
      <c r="O480" s="981"/>
      <c r="P480" s="981"/>
      <c r="Q480" s="1002"/>
      <c r="R480" s="981"/>
      <c r="S480" s="981"/>
      <c r="T480" s="981">
        <v>11360</v>
      </c>
      <c r="U480" s="979"/>
      <c r="V480" s="981">
        <v>50800</v>
      </c>
      <c r="W480" s="981"/>
      <c r="X480" s="981">
        <v>150</v>
      </c>
    </row>
    <row r="481" spans="1:24" s="67" customFormat="1">
      <c r="B481" s="606">
        <v>4</v>
      </c>
      <c r="C481" s="647" t="s">
        <v>34</v>
      </c>
      <c r="D481" s="657" t="s">
        <v>362</v>
      </c>
      <c r="E481" s="1005">
        <f t="shared" si="58"/>
        <v>133506</v>
      </c>
      <c r="F481" s="1005">
        <f t="shared" si="59"/>
        <v>0</v>
      </c>
      <c r="G481" s="983"/>
      <c r="H481" s="984"/>
      <c r="I481" s="984"/>
      <c r="J481" s="984"/>
      <c r="K481" s="984"/>
      <c r="L481" s="1005">
        <f t="shared" si="54"/>
        <v>133506</v>
      </c>
      <c r="M481" s="981"/>
      <c r="N481" s="981">
        <v>5000</v>
      </c>
      <c r="O481" s="981">
        <v>16400</v>
      </c>
      <c r="P481" s="981">
        <f>4800+39000</f>
        <v>43800</v>
      </c>
      <c r="Q481" s="1002">
        <v>3140</v>
      </c>
      <c r="R481" s="981"/>
      <c r="S481" s="981"/>
      <c r="T481" s="981">
        <v>16000</v>
      </c>
      <c r="U481" s="981">
        <v>32326</v>
      </c>
      <c r="V481" s="981">
        <f>6720+9000</f>
        <v>15720</v>
      </c>
      <c r="W481" s="981"/>
      <c r="X481" s="981">
        <v>1120</v>
      </c>
    </row>
    <row r="482" spans="1:24" s="67" customFormat="1" ht="24">
      <c r="B482" s="606">
        <v>5</v>
      </c>
      <c r="C482" s="647" t="s">
        <v>34</v>
      </c>
      <c r="D482" s="658" t="s">
        <v>363</v>
      </c>
      <c r="E482" s="1005">
        <f t="shared" si="58"/>
        <v>146020</v>
      </c>
      <c r="F482" s="1005">
        <f t="shared" si="59"/>
        <v>0</v>
      </c>
      <c r="G482" s="983"/>
      <c r="H482" s="984"/>
      <c r="I482" s="984"/>
      <c r="J482" s="984"/>
      <c r="K482" s="984"/>
      <c r="L482" s="1005">
        <f t="shared" si="54"/>
        <v>146020</v>
      </c>
      <c r="M482" s="981"/>
      <c r="N482" s="981">
        <v>19600</v>
      </c>
      <c r="O482" s="981"/>
      <c r="P482" s="981"/>
      <c r="Q482" s="981">
        <v>0</v>
      </c>
      <c r="R482" s="981">
        <v>320</v>
      </c>
      <c r="S482" s="981">
        <f>7600+20000</f>
        <v>27600</v>
      </c>
      <c r="T482" s="981">
        <v>11520</v>
      </c>
      <c r="U482" s="981">
        <v>0</v>
      </c>
      <c r="V482" s="981"/>
      <c r="W482" s="981">
        <f>70500</f>
        <v>70500</v>
      </c>
      <c r="X482" s="981">
        <v>16480</v>
      </c>
    </row>
    <row r="483" spans="1:24" s="67" customFormat="1">
      <c r="B483" s="606">
        <v>6</v>
      </c>
      <c r="C483" s="647" t="s">
        <v>34</v>
      </c>
      <c r="D483" s="659" t="s">
        <v>358</v>
      </c>
      <c r="E483" s="1005">
        <f t="shared" si="58"/>
        <v>36480</v>
      </c>
      <c r="F483" s="1005">
        <f t="shared" si="59"/>
        <v>0</v>
      </c>
      <c r="G483" s="983"/>
      <c r="H483" s="984"/>
      <c r="I483" s="984"/>
      <c r="J483" s="984"/>
      <c r="K483" s="984"/>
      <c r="L483" s="1005">
        <f t="shared" si="54"/>
        <v>36480</v>
      </c>
      <c r="M483" s="981"/>
      <c r="N483" s="981"/>
      <c r="O483" s="981"/>
      <c r="P483" s="981"/>
      <c r="Q483" s="1002">
        <v>36480</v>
      </c>
      <c r="R483" s="981"/>
      <c r="S483" s="981"/>
      <c r="T483" s="981"/>
      <c r="U483" s="979"/>
      <c r="V483" s="981"/>
      <c r="W483" s="981"/>
      <c r="X483" s="981"/>
    </row>
    <row r="484" spans="1:24" s="67" customFormat="1" ht="24">
      <c r="B484" s="606">
        <v>7</v>
      </c>
      <c r="C484" s="647" t="s">
        <v>34</v>
      </c>
      <c r="D484" s="683" t="s">
        <v>724</v>
      </c>
      <c r="E484" s="1005">
        <f t="shared" si="58"/>
        <v>2560</v>
      </c>
      <c r="F484" s="1005">
        <f t="shared" si="59"/>
        <v>0</v>
      </c>
      <c r="G484" s="983"/>
      <c r="H484" s="984"/>
      <c r="I484" s="984"/>
      <c r="J484" s="984"/>
      <c r="K484" s="984"/>
      <c r="L484" s="1005">
        <f t="shared" si="54"/>
        <v>2560</v>
      </c>
      <c r="M484" s="981"/>
      <c r="N484" s="981"/>
      <c r="O484" s="981"/>
      <c r="P484" s="981"/>
      <c r="Q484" s="1002">
        <v>2560</v>
      </c>
      <c r="R484" s="981"/>
      <c r="S484" s="981"/>
      <c r="T484" s="981"/>
      <c r="U484" s="979"/>
      <c r="V484" s="981"/>
      <c r="W484" s="981"/>
      <c r="X484" s="981"/>
    </row>
    <row r="485" spans="1:24" s="67" customFormat="1" ht="48">
      <c r="B485" s="606">
        <v>8</v>
      </c>
      <c r="C485" s="647" t="s">
        <v>34</v>
      </c>
      <c r="D485" s="660" t="s">
        <v>725</v>
      </c>
      <c r="E485" s="1005"/>
      <c r="F485" s="1005"/>
      <c r="G485" s="983"/>
      <c r="H485" s="984"/>
      <c r="I485" s="984"/>
      <c r="J485" s="984"/>
      <c r="K485" s="984"/>
      <c r="L485" s="1005"/>
      <c r="M485" s="981"/>
      <c r="N485" s="981"/>
      <c r="O485" s="981"/>
      <c r="P485" s="981"/>
      <c r="Q485" s="1002"/>
      <c r="R485" s="981"/>
      <c r="S485" s="981"/>
      <c r="T485" s="981"/>
      <c r="U485" s="979"/>
      <c r="V485" s="981"/>
      <c r="W485" s="981"/>
      <c r="X485" s="981"/>
    </row>
    <row r="486" spans="1:24" s="67" customFormat="1">
      <c r="B486" s="606">
        <v>9</v>
      </c>
      <c r="C486" s="647" t="s">
        <v>34</v>
      </c>
      <c r="D486" s="684" t="s">
        <v>364</v>
      </c>
      <c r="E486" s="1005">
        <f t="shared" si="58"/>
        <v>10800</v>
      </c>
      <c r="F486" s="1005">
        <f t="shared" si="59"/>
        <v>0</v>
      </c>
      <c r="G486" s="983"/>
      <c r="H486" s="984"/>
      <c r="I486" s="984"/>
      <c r="J486" s="984"/>
      <c r="K486" s="984"/>
      <c r="L486" s="1005">
        <f t="shared" si="54"/>
        <v>10800</v>
      </c>
      <c r="M486" s="981"/>
      <c r="N486" s="981"/>
      <c r="O486" s="981"/>
      <c r="P486" s="981"/>
      <c r="Q486" s="1002">
        <v>10800</v>
      </c>
      <c r="R486" s="981"/>
      <c r="S486" s="981"/>
      <c r="T486" s="981"/>
      <c r="U486" s="979"/>
      <c r="V486" s="981"/>
      <c r="W486" s="981"/>
      <c r="X486" s="981"/>
    </row>
    <row r="487" spans="1:24" s="67" customFormat="1" ht="36">
      <c r="B487" s="606">
        <v>10</v>
      </c>
      <c r="C487" s="647" t="s">
        <v>34</v>
      </c>
      <c r="D487" s="661" t="s">
        <v>726</v>
      </c>
      <c r="E487" s="1005">
        <f t="shared" si="58"/>
        <v>2880</v>
      </c>
      <c r="F487" s="1005">
        <f t="shared" si="59"/>
        <v>0</v>
      </c>
      <c r="G487" s="983"/>
      <c r="H487" s="984"/>
      <c r="I487" s="984"/>
      <c r="J487" s="984"/>
      <c r="K487" s="984"/>
      <c r="L487" s="1005">
        <f t="shared" si="54"/>
        <v>2880</v>
      </c>
      <c r="M487" s="981"/>
      <c r="N487" s="981"/>
      <c r="O487" s="981"/>
      <c r="P487" s="981"/>
      <c r="Q487" s="1002">
        <v>2880</v>
      </c>
      <c r="R487" s="981"/>
      <c r="S487" s="981"/>
      <c r="T487" s="981"/>
      <c r="U487" s="979"/>
      <c r="V487" s="981"/>
      <c r="W487" s="981"/>
      <c r="X487" s="981"/>
    </row>
    <row r="488" spans="1:24" s="9" customFormat="1" ht="24">
      <c r="A488" s="9">
        <v>19</v>
      </c>
      <c r="B488" s="639">
        <v>19</v>
      </c>
      <c r="C488" s="640"/>
      <c r="D488" s="957" t="s">
        <v>241</v>
      </c>
      <c r="E488" s="990">
        <f t="shared" si="58"/>
        <v>4369187</v>
      </c>
      <c r="F488" s="990">
        <f t="shared" si="59"/>
        <v>2867525</v>
      </c>
      <c r="G488" s="974">
        <f>G489+G505+G507+G511</f>
        <v>1944125</v>
      </c>
      <c r="H488" s="975">
        <f>H489+H505+H507+H511</f>
        <v>278900</v>
      </c>
      <c r="I488" s="975">
        <f>I489+I505+I507+I511</f>
        <v>574500</v>
      </c>
      <c r="J488" s="975">
        <f>J489+J505+J507+J511</f>
        <v>70000</v>
      </c>
      <c r="K488" s="975">
        <f>K489+K505+K507+K511</f>
        <v>0</v>
      </c>
      <c r="L488" s="990">
        <f t="shared" si="54"/>
        <v>1501662</v>
      </c>
      <c r="M488" s="974">
        <f t="shared" ref="M488:X488" si="63">M489+M505+M507+M511</f>
        <v>285970</v>
      </c>
      <c r="N488" s="974">
        <f t="shared" si="63"/>
        <v>50400</v>
      </c>
      <c r="O488" s="974">
        <f t="shared" si="63"/>
        <v>105040</v>
      </c>
      <c r="P488" s="974">
        <f t="shared" si="63"/>
        <v>23900</v>
      </c>
      <c r="Q488" s="974">
        <f t="shared" si="63"/>
        <v>126974</v>
      </c>
      <c r="R488" s="974">
        <f t="shared" si="63"/>
        <v>136148</v>
      </c>
      <c r="S488" s="974">
        <f t="shared" si="63"/>
        <v>72867</v>
      </c>
      <c r="T488" s="974">
        <f t="shared" si="63"/>
        <v>264998</v>
      </c>
      <c r="U488" s="974">
        <f t="shared" si="63"/>
        <v>165880</v>
      </c>
      <c r="V488" s="974">
        <f t="shared" si="63"/>
        <v>53755</v>
      </c>
      <c r="W488" s="974">
        <f t="shared" si="63"/>
        <v>65030</v>
      </c>
      <c r="X488" s="974">
        <f t="shared" si="63"/>
        <v>150700</v>
      </c>
    </row>
    <row r="489" spans="1:24" s="69" customFormat="1" ht="36">
      <c r="A489" s="69" t="s">
        <v>806</v>
      </c>
      <c r="B489" s="646" t="s">
        <v>268</v>
      </c>
      <c r="C489" s="648" t="s">
        <v>34</v>
      </c>
      <c r="D489" s="959" t="s">
        <v>262</v>
      </c>
      <c r="E489" s="976">
        <f t="shared" si="58"/>
        <v>2910352</v>
      </c>
      <c r="F489" s="976">
        <f t="shared" si="59"/>
        <v>1944125</v>
      </c>
      <c r="G489" s="977">
        <f>SUM(G490:G504)</f>
        <v>1944125</v>
      </c>
      <c r="H489" s="978">
        <f>SUM(H490:H504)</f>
        <v>0</v>
      </c>
      <c r="I489" s="978">
        <f>SUM(I490:I504)</f>
        <v>0</v>
      </c>
      <c r="J489" s="978">
        <f>SUM(J490:J504)</f>
        <v>0</v>
      </c>
      <c r="K489" s="978">
        <f>SUM(K490:K504)</f>
        <v>0</v>
      </c>
      <c r="L489" s="976">
        <f t="shared" si="54"/>
        <v>966227</v>
      </c>
      <c r="M489" s="977">
        <f t="shared" ref="M489:X489" si="64">SUM(M490:M504)</f>
        <v>102090</v>
      </c>
      <c r="N489" s="977">
        <f t="shared" si="64"/>
        <v>8000</v>
      </c>
      <c r="O489" s="977">
        <f t="shared" si="64"/>
        <v>93040</v>
      </c>
      <c r="P489" s="977">
        <f t="shared" si="64"/>
        <v>12900</v>
      </c>
      <c r="Q489" s="977">
        <f t="shared" si="64"/>
        <v>74894</v>
      </c>
      <c r="R489" s="977">
        <f t="shared" si="64"/>
        <v>116948</v>
      </c>
      <c r="S489" s="977">
        <f t="shared" si="64"/>
        <v>28352</v>
      </c>
      <c r="T489" s="977">
        <f t="shared" si="64"/>
        <v>239278</v>
      </c>
      <c r="U489" s="977">
        <f t="shared" si="64"/>
        <v>123360</v>
      </c>
      <c r="V489" s="977">
        <f t="shared" si="64"/>
        <v>43755</v>
      </c>
      <c r="W489" s="977">
        <f t="shared" si="64"/>
        <v>33110</v>
      </c>
      <c r="X489" s="977">
        <f t="shared" si="64"/>
        <v>90500</v>
      </c>
    </row>
    <row r="490" spans="1:24" s="68" customFormat="1" ht="60">
      <c r="B490" s="606">
        <v>1</v>
      </c>
      <c r="C490" s="647" t="s">
        <v>34</v>
      </c>
      <c r="D490" s="958" t="s">
        <v>139</v>
      </c>
      <c r="E490" s="1005">
        <f t="shared" si="58"/>
        <v>418700</v>
      </c>
      <c r="F490" s="1005">
        <f t="shared" si="59"/>
        <v>311000</v>
      </c>
      <c r="G490" s="979">
        <f>71000+50000+100000+36000+80000-26000</f>
        <v>311000</v>
      </c>
      <c r="H490" s="980"/>
      <c r="I490" s="980"/>
      <c r="J490" s="980"/>
      <c r="K490" s="980"/>
      <c r="L490" s="1005">
        <f t="shared" si="54"/>
        <v>107700</v>
      </c>
      <c r="M490" s="979"/>
      <c r="N490" s="979">
        <v>1800</v>
      </c>
      <c r="O490" s="979">
        <v>2000</v>
      </c>
      <c r="P490" s="979"/>
      <c r="Q490" s="979">
        <v>22320</v>
      </c>
      <c r="R490" s="979"/>
      <c r="S490" s="979">
        <v>3420</v>
      </c>
      <c r="T490" s="979">
        <v>3000</v>
      </c>
      <c r="U490" s="979">
        <v>36000</v>
      </c>
      <c r="V490" s="979">
        <v>3800</v>
      </c>
      <c r="W490" s="979">
        <v>12960</v>
      </c>
      <c r="X490" s="979">
        <v>22400</v>
      </c>
    </row>
    <row r="491" spans="1:24" s="68" customFormat="1" ht="60">
      <c r="B491" s="606">
        <v>2</v>
      </c>
      <c r="C491" s="647" t="s">
        <v>34</v>
      </c>
      <c r="D491" s="958" t="s">
        <v>413</v>
      </c>
      <c r="E491" s="1005">
        <f t="shared" si="58"/>
        <v>1199380</v>
      </c>
      <c r="F491" s="1005">
        <f t="shared" si="59"/>
        <v>726000</v>
      </c>
      <c r="G491" s="983">
        <f>424000+150000+10000+116000+30000-4000</f>
        <v>726000</v>
      </c>
      <c r="H491" s="984"/>
      <c r="I491" s="984"/>
      <c r="J491" s="984"/>
      <c r="K491" s="984"/>
      <c r="L491" s="1005">
        <f t="shared" si="54"/>
        <v>473380</v>
      </c>
      <c r="M491" s="983"/>
      <c r="N491" s="983">
        <v>1200</v>
      </c>
      <c r="O491" s="983">
        <v>63000</v>
      </c>
      <c r="P491" s="983"/>
      <c r="Q491" s="983">
        <v>22170</v>
      </c>
      <c r="R491" s="979">
        <v>108348</v>
      </c>
      <c r="S491" s="983">
        <v>13192</v>
      </c>
      <c r="T491" s="983">
        <v>163670</v>
      </c>
      <c r="U491" s="983">
        <v>40000</v>
      </c>
      <c r="V491" s="983">
        <v>3800</v>
      </c>
      <c r="W491" s="983">
        <v>14000</v>
      </c>
      <c r="X491" s="983">
        <v>44000</v>
      </c>
    </row>
    <row r="492" spans="1:24" s="68" customFormat="1" ht="192">
      <c r="B492" s="606">
        <v>3</v>
      </c>
      <c r="C492" s="647" t="s">
        <v>34</v>
      </c>
      <c r="D492" s="960" t="s">
        <v>414</v>
      </c>
      <c r="E492" s="1005">
        <f t="shared" si="58"/>
        <v>8800</v>
      </c>
      <c r="F492" s="1005">
        <f t="shared" si="59"/>
        <v>8800</v>
      </c>
      <c r="G492" s="983">
        <v>8800</v>
      </c>
      <c r="H492" s="984"/>
      <c r="I492" s="984"/>
      <c r="J492" s="984"/>
      <c r="K492" s="984"/>
      <c r="L492" s="1005">
        <f t="shared" si="54"/>
        <v>0</v>
      </c>
      <c r="M492" s="983"/>
      <c r="N492" s="983"/>
      <c r="O492" s="983"/>
      <c r="P492" s="983"/>
      <c r="Q492" s="983"/>
      <c r="R492" s="983"/>
      <c r="S492" s="983"/>
      <c r="T492" s="983"/>
      <c r="U492" s="983"/>
      <c r="V492" s="983"/>
      <c r="W492" s="983"/>
      <c r="X492" s="983"/>
    </row>
    <row r="493" spans="1:24" s="68" customFormat="1" ht="60">
      <c r="B493" s="606">
        <v>4</v>
      </c>
      <c r="C493" s="647" t="s">
        <v>34</v>
      </c>
      <c r="D493" s="892" t="s">
        <v>415</v>
      </c>
      <c r="E493" s="1005">
        <f t="shared" si="58"/>
        <v>58960</v>
      </c>
      <c r="F493" s="1005">
        <f t="shared" si="59"/>
        <v>50805</v>
      </c>
      <c r="G493" s="983">
        <v>50805</v>
      </c>
      <c r="H493" s="984"/>
      <c r="I493" s="984"/>
      <c r="J493" s="984"/>
      <c r="K493" s="984"/>
      <c r="L493" s="1005">
        <f t="shared" si="54"/>
        <v>8155</v>
      </c>
      <c r="M493" s="983"/>
      <c r="N493" s="983"/>
      <c r="O493" s="983"/>
      <c r="P493" s="983"/>
      <c r="Q493" s="983"/>
      <c r="R493" s="983"/>
      <c r="S493" s="983"/>
      <c r="T493" s="983"/>
      <c r="U493" s="983"/>
      <c r="V493" s="983">
        <v>8155</v>
      </c>
      <c r="W493" s="983"/>
      <c r="X493" s="983"/>
    </row>
    <row r="494" spans="1:24" s="68" customFormat="1" ht="48">
      <c r="B494" s="606">
        <v>5</v>
      </c>
      <c r="C494" s="647" t="s">
        <v>34</v>
      </c>
      <c r="D494" s="892" t="s">
        <v>416</v>
      </c>
      <c r="E494" s="1005">
        <f t="shared" si="58"/>
        <v>201242</v>
      </c>
      <c r="F494" s="1005">
        <f t="shared" si="59"/>
        <v>0</v>
      </c>
      <c r="G494" s="983"/>
      <c r="H494" s="984"/>
      <c r="I494" s="984"/>
      <c r="J494" s="984"/>
      <c r="K494" s="984"/>
      <c r="L494" s="1005">
        <f t="shared" si="54"/>
        <v>201242</v>
      </c>
      <c r="M494" s="983">
        <v>28840</v>
      </c>
      <c r="N494" s="983">
        <v>5000</v>
      </c>
      <c r="O494" s="983">
        <v>21000</v>
      </c>
      <c r="P494" s="983">
        <v>12900</v>
      </c>
      <c r="Q494" s="983">
        <v>30404</v>
      </c>
      <c r="R494" s="983">
        <v>8600</v>
      </c>
      <c r="S494" s="983">
        <v>11740</v>
      </c>
      <c r="T494" s="983">
        <v>32268</v>
      </c>
      <c r="U494" s="983">
        <v>25560</v>
      </c>
      <c r="V494" s="983">
        <v>7000</v>
      </c>
      <c r="W494" s="983">
        <v>6150</v>
      </c>
      <c r="X494" s="983">
        <v>11780</v>
      </c>
    </row>
    <row r="495" spans="1:24" s="68" customFormat="1" ht="36">
      <c r="B495" s="606">
        <v>6</v>
      </c>
      <c r="C495" s="647" t="s">
        <v>34</v>
      </c>
      <c r="D495" s="892" t="s">
        <v>417</v>
      </c>
      <c r="E495" s="1005">
        <f t="shared" si="58"/>
        <v>89100</v>
      </c>
      <c r="F495" s="1005">
        <f t="shared" si="59"/>
        <v>40000</v>
      </c>
      <c r="G495" s="983">
        <v>40000</v>
      </c>
      <c r="H495" s="984"/>
      <c r="I495" s="984"/>
      <c r="J495" s="984"/>
      <c r="K495" s="984"/>
      <c r="L495" s="1005">
        <f t="shared" si="54"/>
        <v>49100</v>
      </c>
      <c r="M495" s="983"/>
      <c r="N495" s="983"/>
      <c r="O495" s="983">
        <v>7040</v>
      </c>
      <c r="P495" s="983"/>
      <c r="Q495" s="983"/>
      <c r="R495" s="983"/>
      <c r="S495" s="983"/>
      <c r="T495" s="983">
        <v>16740</v>
      </c>
      <c r="U495" s="983">
        <v>5000</v>
      </c>
      <c r="V495" s="983">
        <v>8000</v>
      </c>
      <c r="W495" s="983"/>
      <c r="X495" s="983">
        <v>12320</v>
      </c>
    </row>
    <row r="496" spans="1:24" s="68" customFormat="1" ht="72">
      <c r="B496" s="606">
        <v>7</v>
      </c>
      <c r="C496" s="647" t="s">
        <v>34</v>
      </c>
      <c r="D496" s="892" t="s">
        <v>418</v>
      </c>
      <c r="E496" s="1005">
        <f t="shared" si="58"/>
        <v>60000</v>
      </c>
      <c r="F496" s="1005">
        <f t="shared" si="59"/>
        <v>55000</v>
      </c>
      <c r="G496" s="983">
        <v>55000</v>
      </c>
      <c r="H496" s="984"/>
      <c r="I496" s="984"/>
      <c r="J496" s="984"/>
      <c r="K496" s="984"/>
      <c r="L496" s="1005">
        <f t="shared" si="54"/>
        <v>5000</v>
      </c>
      <c r="M496" s="983"/>
      <c r="N496" s="983"/>
      <c r="O496" s="983"/>
      <c r="P496" s="983"/>
      <c r="Q496" s="983"/>
      <c r="R496" s="983"/>
      <c r="S496" s="983"/>
      <c r="T496" s="983"/>
      <c r="U496" s="1002"/>
      <c r="V496" s="983">
        <v>5000</v>
      </c>
      <c r="W496" s="983"/>
      <c r="X496" s="983"/>
    </row>
    <row r="497" spans="1:24" s="68" customFormat="1" ht="72">
      <c r="B497" s="606">
        <v>8</v>
      </c>
      <c r="C497" s="647" t="s">
        <v>34</v>
      </c>
      <c r="D497" s="961" t="s">
        <v>419</v>
      </c>
      <c r="E497" s="1005"/>
      <c r="F497" s="1005"/>
      <c r="G497" s="983"/>
      <c r="H497" s="984"/>
      <c r="I497" s="984"/>
      <c r="J497" s="984"/>
      <c r="K497" s="984"/>
      <c r="L497" s="1005"/>
      <c r="M497" s="983"/>
      <c r="N497" s="983"/>
      <c r="O497" s="983"/>
      <c r="P497" s="983"/>
      <c r="Q497" s="983"/>
      <c r="R497" s="1002"/>
      <c r="S497" s="983"/>
      <c r="T497" s="983"/>
      <c r="U497" s="983"/>
      <c r="V497" s="983"/>
      <c r="W497" s="983"/>
      <c r="X497" s="983"/>
    </row>
    <row r="498" spans="1:24" s="68" customFormat="1" ht="60">
      <c r="B498" s="606">
        <v>9</v>
      </c>
      <c r="C498" s="647" t="s">
        <v>34</v>
      </c>
      <c r="D498" s="962" t="s">
        <v>625</v>
      </c>
      <c r="E498" s="1005">
        <f t="shared" si="58"/>
        <v>92520</v>
      </c>
      <c r="F498" s="1005">
        <f t="shared" si="59"/>
        <v>91520</v>
      </c>
      <c r="G498" s="983">
        <v>91520</v>
      </c>
      <c r="H498" s="984"/>
      <c r="I498" s="984"/>
      <c r="J498" s="984"/>
      <c r="K498" s="984"/>
      <c r="L498" s="1005">
        <f t="shared" si="54"/>
        <v>1000</v>
      </c>
      <c r="M498" s="983"/>
      <c r="N498" s="983"/>
      <c r="O498" s="983"/>
      <c r="P498" s="983"/>
      <c r="Q498" s="983"/>
      <c r="R498" s="983"/>
      <c r="S498" s="983"/>
      <c r="T498" s="983"/>
      <c r="U498" s="983"/>
      <c r="V498" s="983">
        <v>1000</v>
      </c>
      <c r="W498" s="983"/>
      <c r="X498" s="983"/>
    </row>
    <row r="499" spans="1:24" s="68" customFormat="1" ht="60">
      <c r="B499" s="606">
        <v>10</v>
      </c>
      <c r="C499" s="647" t="s">
        <v>34</v>
      </c>
      <c r="D499" s="963" t="s">
        <v>705</v>
      </c>
      <c r="E499" s="1005"/>
      <c r="F499" s="1005"/>
      <c r="G499" s="983"/>
      <c r="H499" s="984"/>
      <c r="I499" s="984"/>
      <c r="J499" s="984"/>
      <c r="K499" s="984"/>
      <c r="L499" s="1005"/>
      <c r="M499" s="983"/>
      <c r="N499" s="983"/>
      <c r="O499" s="983"/>
      <c r="P499" s="983"/>
      <c r="Q499" s="983"/>
      <c r="R499" s="983"/>
      <c r="S499" s="983"/>
      <c r="T499" s="983"/>
      <c r="U499" s="983"/>
      <c r="V499" s="983"/>
      <c r="W499" s="983"/>
      <c r="X499" s="983"/>
    </row>
    <row r="500" spans="1:24" s="68" customFormat="1">
      <c r="B500" s="606">
        <v>11</v>
      </c>
      <c r="C500" s="647" t="s">
        <v>34</v>
      </c>
      <c r="D500" s="963" t="s">
        <v>422</v>
      </c>
      <c r="E500" s="1005">
        <f t="shared" si="58"/>
        <v>250000</v>
      </c>
      <c r="F500" s="1005">
        <f t="shared" si="59"/>
        <v>250000</v>
      </c>
      <c r="G500" s="983">
        <v>250000</v>
      </c>
      <c r="H500" s="984"/>
      <c r="I500" s="984"/>
      <c r="J500" s="984"/>
      <c r="K500" s="984"/>
      <c r="L500" s="1005">
        <f t="shared" si="54"/>
        <v>0</v>
      </c>
      <c r="M500" s="983"/>
      <c r="N500" s="983"/>
      <c r="O500" s="983"/>
      <c r="P500" s="983"/>
      <c r="Q500" s="983"/>
      <c r="R500" s="983"/>
      <c r="S500" s="983"/>
      <c r="T500" s="983"/>
      <c r="U500" s="983"/>
      <c r="V500" s="983"/>
      <c r="W500" s="983"/>
      <c r="X500" s="983"/>
    </row>
    <row r="501" spans="1:24" s="68" customFormat="1">
      <c r="B501" s="606">
        <v>12</v>
      </c>
      <c r="C501" s="647" t="s">
        <v>34</v>
      </c>
      <c r="D501" s="964" t="s">
        <v>423</v>
      </c>
      <c r="E501" s="1005">
        <f t="shared" si="58"/>
        <v>411000</v>
      </c>
      <c r="F501" s="1005">
        <f t="shared" si="59"/>
        <v>411000</v>
      </c>
      <c r="G501" s="983">
        <v>411000</v>
      </c>
      <c r="H501" s="984"/>
      <c r="I501" s="984"/>
      <c r="J501" s="984"/>
      <c r="K501" s="984"/>
      <c r="L501" s="1005">
        <f t="shared" ref="L501:L531" si="65">SUM(M501:X501)</f>
        <v>0</v>
      </c>
      <c r="M501" s="983"/>
      <c r="N501" s="983"/>
      <c r="O501" s="983"/>
      <c r="P501" s="983"/>
      <c r="Q501" s="983"/>
      <c r="R501" s="983"/>
      <c r="S501" s="983"/>
      <c r="T501" s="983"/>
      <c r="U501" s="983"/>
      <c r="V501" s="983"/>
      <c r="W501" s="983"/>
      <c r="X501" s="983"/>
    </row>
    <row r="502" spans="1:24" s="68" customFormat="1" ht="24">
      <c r="B502" s="606">
        <v>13</v>
      </c>
      <c r="C502" s="647" t="s">
        <v>34</v>
      </c>
      <c r="D502" s="958" t="s">
        <v>261</v>
      </c>
      <c r="E502" s="1005">
        <f t="shared" si="58"/>
        <v>4000</v>
      </c>
      <c r="F502" s="1005">
        <f t="shared" si="59"/>
        <v>0</v>
      </c>
      <c r="G502" s="983"/>
      <c r="H502" s="984"/>
      <c r="I502" s="984"/>
      <c r="J502" s="984"/>
      <c r="K502" s="984"/>
      <c r="L502" s="1005">
        <f t="shared" si="65"/>
        <v>4000</v>
      </c>
      <c r="M502" s="983"/>
      <c r="N502" s="983"/>
      <c r="O502" s="983"/>
      <c r="P502" s="983"/>
      <c r="Q502" s="983"/>
      <c r="R502" s="983"/>
      <c r="S502" s="983"/>
      <c r="T502" s="983"/>
      <c r="U502" s="983"/>
      <c r="V502" s="983">
        <v>4000</v>
      </c>
      <c r="W502" s="983"/>
      <c r="X502" s="983"/>
    </row>
    <row r="503" spans="1:24" s="68" customFormat="1" ht="48">
      <c r="B503" s="606">
        <v>14</v>
      </c>
      <c r="C503" s="647" t="s">
        <v>34</v>
      </c>
      <c r="D503" s="958" t="s">
        <v>141</v>
      </c>
      <c r="E503" s="1005">
        <f t="shared" si="58"/>
        <v>23940</v>
      </c>
      <c r="F503" s="1005">
        <f t="shared" si="59"/>
        <v>0</v>
      </c>
      <c r="G503" s="983"/>
      <c r="H503" s="984"/>
      <c r="I503" s="984"/>
      <c r="J503" s="984"/>
      <c r="K503" s="984"/>
      <c r="L503" s="1005">
        <f t="shared" si="65"/>
        <v>23940</v>
      </c>
      <c r="M503" s="983">
        <v>23940</v>
      </c>
      <c r="N503" s="983"/>
      <c r="O503" s="983"/>
      <c r="P503" s="983"/>
      <c r="Q503" s="983"/>
      <c r="R503" s="983"/>
      <c r="S503" s="983"/>
      <c r="T503" s="983"/>
      <c r="U503" s="983"/>
      <c r="V503" s="983"/>
      <c r="W503" s="983"/>
      <c r="X503" s="983"/>
    </row>
    <row r="504" spans="1:24" s="68" customFormat="1" ht="36">
      <c r="B504" s="606">
        <v>15</v>
      </c>
      <c r="C504" s="647" t="s">
        <v>34</v>
      </c>
      <c r="D504" s="958" t="s">
        <v>142</v>
      </c>
      <c r="E504" s="1005">
        <f t="shared" si="58"/>
        <v>92710</v>
      </c>
      <c r="F504" s="1005">
        <f t="shared" si="59"/>
        <v>0</v>
      </c>
      <c r="G504" s="1002"/>
      <c r="H504" s="984"/>
      <c r="I504" s="984"/>
      <c r="J504" s="984"/>
      <c r="K504" s="984"/>
      <c r="L504" s="1005">
        <f t="shared" si="65"/>
        <v>92710</v>
      </c>
      <c r="M504" s="983">
        <v>49310</v>
      </c>
      <c r="N504" s="983"/>
      <c r="O504" s="983"/>
      <c r="P504" s="983"/>
      <c r="Q504" s="983"/>
      <c r="R504" s="983"/>
      <c r="S504" s="983"/>
      <c r="T504" s="983">
        <v>23600</v>
      </c>
      <c r="U504" s="983">
        <v>16800</v>
      </c>
      <c r="V504" s="983">
        <v>3000</v>
      </c>
      <c r="W504" s="983"/>
      <c r="X504" s="983"/>
    </row>
    <row r="505" spans="1:24" s="70" customFormat="1" ht="36">
      <c r="A505" s="70" t="s">
        <v>807</v>
      </c>
      <c r="B505" s="646" t="s">
        <v>269</v>
      </c>
      <c r="C505" s="648" t="s">
        <v>1</v>
      </c>
      <c r="D505" s="959" t="s">
        <v>263</v>
      </c>
      <c r="E505" s="976">
        <f t="shared" si="58"/>
        <v>628435</v>
      </c>
      <c r="F505" s="976">
        <f t="shared" si="59"/>
        <v>278900</v>
      </c>
      <c r="G505" s="977">
        <f>SUM(G506:G506)</f>
        <v>0</v>
      </c>
      <c r="H505" s="978">
        <f>SUM(H506:H506)</f>
        <v>278900</v>
      </c>
      <c r="I505" s="978">
        <f>SUM(I506:I506)</f>
        <v>0</v>
      </c>
      <c r="J505" s="978">
        <f>SUM(J506:J506)</f>
        <v>0</v>
      </c>
      <c r="K505" s="978">
        <f>SUM(K506:K506)</f>
        <v>0</v>
      </c>
      <c r="L505" s="976">
        <f t="shared" si="65"/>
        <v>349535</v>
      </c>
      <c r="M505" s="977">
        <f t="shared" ref="M505:X505" si="66">SUM(M506:M506)</f>
        <v>148500</v>
      </c>
      <c r="N505" s="977">
        <f t="shared" si="66"/>
        <v>34000</v>
      </c>
      <c r="O505" s="977">
        <f t="shared" si="66"/>
        <v>2000</v>
      </c>
      <c r="P505" s="977">
        <f t="shared" si="66"/>
        <v>0</v>
      </c>
      <c r="Q505" s="977">
        <f t="shared" si="66"/>
        <v>5880</v>
      </c>
      <c r="R505" s="977">
        <f t="shared" si="66"/>
        <v>10000</v>
      </c>
      <c r="S505" s="977">
        <f t="shared" si="66"/>
        <v>32715</v>
      </c>
      <c r="T505" s="977">
        <f t="shared" si="66"/>
        <v>15520</v>
      </c>
      <c r="U505" s="977">
        <f t="shared" si="66"/>
        <v>31720</v>
      </c>
      <c r="V505" s="977">
        <f t="shared" si="66"/>
        <v>0</v>
      </c>
      <c r="W505" s="977">
        <f t="shared" si="66"/>
        <v>19200</v>
      </c>
      <c r="X505" s="977">
        <f t="shared" si="66"/>
        <v>50000</v>
      </c>
    </row>
    <row r="506" spans="1:24" s="16" customFormat="1" ht="48">
      <c r="B506" s="647"/>
      <c r="C506" s="647" t="s">
        <v>1</v>
      </c>
      <c r="D506" s="926" t="s">
        <v>558</v>
      </c>
      <c r="E506" s="1047">
        <f t="shared" si="58"/>
        <v>628435</v>
      </c>
      <c r="F506" s="1047">
        <f t="shared" si="59"/>
        <v>278900</v>
      </c>
      <c r="G506" s="1031"/>
      <c r="H506" s="999">
        <v>278900</v>
      </c>
      <c r="I506" s="999"/>
      <c r="J506" s="999"/>
      <c r="K506" s="999"/>
      <c r="L506" s="1047">
        <f t="shared" si="65"/>
        <v>349535</v>
      </c>
      <c r="M506" s="1025">
        <v>148500</v>
      </c>
      <c r="N506" s="1040">
        <v>34000</v>
      </c>
      <c r="O506" s="1031">
        <v>2000</v>
      </c>
      <c r="P506" s="1040"/>
      <c r="Q506" s="1041">
        <v>5880</v>
      </c>
      <c r="R506" s="1031">
        <v>10000</v>
      </c>
      <c r="S506" s="1031">
        <v>32715</v>
      </c>
      <c r="T506" s="1040">
        <v>15520</v>
      </c>
      <c r="U506" s="1031">
        <v>31720</v>
      </c>
      <c r="V506" s="1040"/>
      <c r="W506" s="1040">
        <v>19200</v>
      </c>
      <c r="X506" s="1025">
        <v>50000</v>
      </c>
    </row>
    <row r="507" spans="1:24" s="13" customFormat="1" ht="36">
      <c r="A507" s="13" t="s">
        <v>808</v>
      </c>
      <c r="B507" s="646" t="s">
        <v>270</v>
      </c>
      <c r="C507" s="648" t="s">
        <v>2</v>
      </c>
      <c r="D507" s="959" t="s">
        <v>264</v>
      </c>
      <c r="E507" s="976">
        <f t="shared" si="58"/>
        <v>760400</v>
      </c>
      <c r="F507" s="976">
        <f t="shared" si="59"/>
        <v>574500</v>
      </c>
      <c r="G507" s="977">
        <f t="shared" ref="G507:X507" si="67">SUM(G508:G510)</f>
        <v>0</v>
      </c>
      <c r="H507" s="978">
        <f t="shared" si="67"/>
        <v>0</v>
      </c>
      <c r="I507" s="978">
        <f t="shared" si="67"/>
        <v>574500</v>
      </c>
      <c r="J507" s="978">
        <f t="shared" si="67"/>
        <v>0</v>
      </c>
      <c r="K507" s="978">
        <f t="shared" si="67"/>
        <v>0</v>
      </c>
      <c r="L507" s="976">
        <f t="shared" si="65"/>
        <v>185900</v>
      </c>
      <c r="M507" s="977">
        <f t="shared" si="67"/>
        <v>35380</v>
      </c>
      <c r="N507" s="977">
        <f t="shared" si="67"/>
        <v>8400</v>
      </c>
      <c r="O507" s="977">
        <f t="shared" si="67"/>
        <v>10000</v>
      </c>
      <c r="P507" s="977">
        <f t="shared" si="67"/>
        <v>11000</v>
      </c>
      <c r="Q507" s="977">
        <f t="shared" si="67"/>
        <v>46200</v>
      </c>
      <c r="R507" s="977">
        <f t="shared" si="67"/>
        <v>9200</v>
      </c>
      <c r="S507" s="977">
        <f t="shared" si="67"/>
        <v>11800</v>
      </c>
      <c r="T507" s="977">
        <f t="shared" si="67"/>
        <v>10200</v>
      </c>
      <c r="U507" s="977">
        <f t="shared" si="67"/>
        <v>10800</v>
      </c>
      <c r="V507" s="977">
        <f t="shared" si="67"/>
        <v>10000</v>
      </c>
      <c r="W507" s="977">
        <f t="shared" si="67"/>
        <v>12720</v>
      </c>
      <c r="X507" s="977">
        <f t="shared" si="67"/>
        <v>10200</v>
      </c>
    </row>
    <row r="508" spans="1:24" s="16" customFormat="1" ht="72">
      <c r="B508" s="662">
        <v>1</v>
      </c>
      <c r="C508" s="647" t="s">
        <v>2</v>
      </c>
      <c r="D508" s="965" t="s">
        <v>138</v>
      </c>
      <c r="E508" s="1047">
        <f t="shared" si="58"/>
        <v>159000</v>
      </c>
      <c r="F508" s="1047">
        <f t="shared" si="59"/>
        <v>159000</v>
      </c>
      <c r="G508" s="995"/>
      <c r="H508" s="994"/>
      <c r="I508" s="994">
        <v>159000</v>
      </c>
      <c r="J508" s="994"/>
      <c r="K508" s="994"/>
      <c r="L508" s="1047">
        <f t="shared" si="65"/>
        <v>0</v>
      </c>
      <c r="M508" s="1020"/>
      <c r="N508" s="1020"/>
      <c r="O508" s="1020"/>
      <c r="P508" s="1020"/>
      <c r="Q508" s="1020"/>
      <c r="R508" s="1020"/>
      <c r="S508" s="1020"/>
      <c r="T508" s="1020"/>
      <c r="U508" s="1020"/>
      <c r="V508" s="1020"/>
      <c r="W508" s="1020"/>
      <c r="X508" s="1020"/>
    </row>
    <row r="509" spans="1:24" s="16" customFormat="1" ht="60">
      <c r="B509" s="662">
        <v>2</v>
      </c>
      <c r="C509" s="647" t="s">
        <v>2</v>
      </c>
      <c r="D509" s="966" t="s">
        <v>139</v>
      </c>
      <c r="E509" s="1047">
        <f t="shared" si="58"/>
        <v>335900</v>
      </c>
      <c r="F509" s="1047">
        <f t="shared" si="59"/>
        <v>265200</v>
      </c>
      <c r="G509" s="995"/>
      <c r="H509" s="994"/>
      <c r="I509" s="994">
        <v>265200</v>
      </c>
      <c r="J509" s="994"/>
      <c r="K509" s="994"/>
      <c r="L509" s="1047">
        <f t="shared" si="65"/>
        <v>70700</v>
      </c>
      <c r="M509" s="985">
        <f>6200+3980</f>
        <v>10180</v>
      </c>
      <c r="N509" s="985">
        <v>3400</v>
      </c>
      <c r="O509" s="985">
        <v>5000</v>
      </c>
      <c r="P509" s="985">
        <v>6000</v>
      </c>
      <c r="Q509" s="985">
        <v>6200</v>
      </c>
      <c r="R509" s="985">
        <v>4200</v>
      </c>
      <c r="S509" s="985">
        <v>6800</v>
      </c>
      <c r="T509" s="985">
        <v>5200</v>
      </c>
      <c r="U509" s="985">
        <v>5800</v>
      </c>
      <c r="V509" s="985">
        <v>5000</v>
      </c>
      <c r="W509" s="985">
        <f>5200+2520</f>
        <v>7720</v>
      </c>
      <c r="X509" s="985">
        <v>5200</v>
      </c>
    </row>
    <row r="510" spans="1:24" s="16" customFormat="1" ht="36">
      <c r="B510" s="662">
        <v>3</v>
      </c>
      <c r="C510" s="647" t="s">
        <v>2</v>
      </c>
      <c r="D510" s="965" t="s">
        <v>140</v>
      </c>
      <c r="E510" s="1047">
        <f t="shared" si="58"/>
        <v>265500</v>
      </c>
      <c r="F510" s="1047">
        <f t="shared" si="59"/>
        <v>150300</v>
      </c>
      <c r="G510" s="995"/>
      <c r="H510" s="994"/>
      <c r="I510" s="994">
        <v>150300</v>
      </c>
      <c r="J510" s="994"/>
      <c r="K510" s="994"/>
      <c r="L510" s="1047">
        <f t="shared" si="65"/>
        <v>115200</v>
      </c>
      <c r="M510" s="985">
        <f>5000+20200</f>
        <v>25200</v>
      </c>
      <c r="N510" s="985">
        <v>5000</v>
      </c>
      <c r="O510" s="985">
        <v>5000</v>
      </c>
      <c r="P510" s="985">
        <v>5000</v>
      </c>
      <c r="Q510" s="985">
        <f>5000+35000</f>
        <v>40000</v>
      </c>
      <c r="R510" s="985">
        <v>5000</v>
      </c>
      <c r="S510" s="985">
        <v>5000</v>
      </c>
      <c r="T510" s="985">
        <v>5000</v>
      </c>
      <c r="U510" s="985">
        <v>5000</v>
      </c>
      <c r="V510" s="985">
        <v>5000</v>
      </c>
      <c r="W510" s="985">
        <v>5000</v>
      </c>
      <c r="X510" s="985">
        <v>5000</v>
      </c>
    </row>
    <row r="511" spans="1:24" s="70" customFormat="1" ht="72">
      <c r="A511" s="70" t="s">
        <v>809</v>
      </c>
      <c r="B511" s="663" t="s">
        <v>271</v>
      </c>
      <c r="C511" s="664" t="s">
        <v>582</v>
      </c>
      <c r="D511" s="967" t="s">
        <v>280</v>
      </c>
      <c r="E511" s="976">
        <f t="shared" ref="E511:E531" si="68">F511+L511</f>
        <v>70000</v>
      </c>
      <c r="F511" s="976">
        <f t="shared" ref="F511:F531" si="69">SUM(G511:K511)</f>
        <v>70000</v>
      </c>
      <c r="G511" s="1048">
        <f>SUM(G512:G513)</f>
        <v>0</v>
      </c>
      <c r="H511" s="1049">
        <f t="shared" ref="H511:X511" si="70">SUM(H512:H513)</f>
        <v>0</v>
      </c>
      <c r="I511" s="1049">
        <f t="shared" si="70"/>
        <v>0</v>
      </c>
      <c r="J511" s="1049">
        <f t="shared" si="70"/>
        <v>70000</v>
      </c>
      <c r="K511" s="1049">
        <f t="shared" si="70"/>
        <v>0</v>
      </c>
      <c r="L511" s="976">
        <f t="shared" si="65"/>
        <v>0</v>
      </c>
      <c r="M511" s="1048">
        <f t="shared" si="70"/>
        <v>0</v>
      </c>
      <c r="N511" s="1048">
        <f t="shared" si="70"/>
        <v>0</v>
      </c>
      <c r="O511" s="1048">
        <f t="shared" si="70"/>
        <v>0</v>
      </c>
      <c r="P511" s="1048">
        <f t="shared" si="70"/>
        <v>0</v>
      </c>
      <c r="Q511" s="1048">
        <f t="shared" si="70"/>
        <v>0</v>
      </c>
      <c r="R511" s="1048">
        <f t="shared" si="70"/>
        <v>0</v>
      </c>
      <c r="S511" s="1048">
        <f t="shared" si="70"/>
        <v>0</v>
      </c>
      <c r="T511" s="1048">
        <f t="shared" si="70"/>
        <v>0</v>
      </c>
      <c r="U511" s="1048">
        <f t="shared" si="70"/>
        <v>0</v>
      </c>
      <c r="V511" s="1048">
        <f t="shared" si="70"/>
        <v>0</v>
      </c>
      <c r="W511" s="1048">
        <f t="shared" si="70"/>
        <v>0</v>
      </c>
      <c r="X511" s="1048">
        <f t="shared" si="70"/>
        <v>0</v>
      </c>
    </row>
    <row r="512" spans="1:24" s="16" customFormat="1" ht="36">
      <c r="B512" s="39">
        <v>1</v>
      </c>
      <c r="C512" s="665" t="s">
        <v>582</v>
      </c>
      <c r="D512" s="968" t="s">
        <v>288</v>
      </c>
      <c r="E512" s="1047">
        <f t="shared" si="68"/>
        <v>40000</v>
      </c>
      <c r="F512" s="1047">
        <f t="shared" si="69"/>
        <v>40000</v>
      </c>
      <c r="G512" s="1032"/>
      <c r="H512" s="1044"/>
      <c r="I512" s="1044"/>
      <c r="J512" s="1044">
        <v>40000</v>
      </c>
      <c r="K512" s="1044"/>
      <c r="L512" s="1047">
        <f t="shared" si="65"/>
        <v>0</v>
      </c>
      <c r="M512" s="1032"/>
      <c r="N512" s="1032"/>
      <c r="O512" s="1032"/>
      <c r="P512" s="1032"/>
      <c r="Q512" s="1032"/>
      <c r="R512" s="1032"/>
      <c r="S512" s="1032"/>
      <c r="T512" s="1032"/>
      <c r="U512" s="1032"/>
      <c r="V512" s="1032"/>
      <c r="W512" s="1032"/>
      <c r="X512" s="1032"/>
    </row>
    <row r="513" spans="1:24" s="16" customFormat="1" ht="24">
      <c r="B513" s="39">
        <v>2</v>
      </c>
      <c r="C513" s="665" t="s">
        <v>582</v>
      </c>
      <c r="D513" s="968" t="s">
        <v>226</v>
      </c>
      <c r="E513" s="1047">
        <f t="shared" si="68"/>
        <v>30000</v>
      </c>
      <c r="F513" s="1047">
        <f t="shared" si="69"/>
        <v>30000</v>
      </c>
      <c r="G513" s="1032"/>
      <c r="H513" s="1044"/>
      <c r="I513" s="1044"/>
      <c r="J513" s="1044">
        <v>30000</v>
      </c>
      <c r="K513" s="1044"/>
      <c r="L513" s="1047">
        <f t="shared" si="65"/>
        <v>0</v>
      </c>
      <c r="M513" s="1032"/>
      <c r="N513" s="1032"/>
      <c r="O513" s="1032"/>
      <c r="P513" s="1032"/>
      <c r="Q513" s="1032"/>
      <c r="R513" s="1032"/>
      <c r="S513" s="1032"/>
      <c r="T513" s="1032"/>
      <c r="U513" s="1032"/>
      <c r="V513" s="1032"/>
      <c r="W513" s="1032"/>
      <c r="X513" s="1032"/>
    </row>
    <row r="514" spans="1:24" s="5" customFormat="1" ht="36">
      <c r="A514" s="5">
        <v>20</v>
      </c>
      <c r="B514" s="597">
        <v>20</v>
      </c>
      <c r="C514" s="666"/>
      <c r="D514" s="823" t="s">
        <v>242</v>
      </c>
      <c r="E514" s="990">
        <f t="shared" si="68"/>
        <v>91158</v>
      </c>
      <c r="F514" s="990">
        <f t="shared" si="69"/>
        <v>50000</v>
      </c>
      <c r="G514" s="974">
        <f>G515+G517+G523+G526</f>
        <v>50000</v>
      </c>
      <c r="H514" s="975">
        <f>SUM(H516:H516)</f>
        <v>0</v>
      </c>
      <c r="I514" s="975">
        <f>SUM(I516:I516)</f>
        <v>0</v>
      </c>
      <c r="J514" s="975">
        <f>SUM(J516:J516)</f>
        <v>0</v>
      </c>
      <c r="K514" s="975">
        <f>SUM(K516:K516)</f>
        <v>0</v>
      </c>
      <c r="L514" s="990">
        <f t="shared" si="65"/>
        <v>41158</v>
      </c>
      <c r="M514" s="974">
        <f t="shared" ref="M514:X514" si="71">SUM(M516:M516)</f>
        <v>3840</v>
      </c>
      <c r="N514" s="974">
        <f t="shared" si="71"/>
        <v>0</v>
      </c>
      <c r="O514" s="974">
        <f t="shared" si="71"/>
        <v>1600</v>
      </c>
      <c r="P514" s="974">
        <f t="shared" si="71"/>
        <v>2400</v>
      </c>
      <c r="Q514" s="974">
        <f t="shared" si="71"/>
        <v>6736</v>
      </c>
      <c r="R514" s="974">
        <f t="shared" si="71"/>
        <v>1280</v>
      </c>
      <c r="S514" s="974">
        <f t="shared" si="71"/>
        <v>1520</v>
      </c>
      <c r="T514" s="974">
        <f t="shared" si="71"/>
        <v>0</v>
      </c>
      <c r="U514" s="974">
        <f t="shared" si="71"/>
        <v>10392</v>
      </c>
      <c r="V514" s="974">
        <f t="shared" si="71"/>
        <v>8000</v>
      </c>
      <c r="W514" s="974">
        <f t="shared" si="71"/>
        <v>0</v>
      </c>
      <c r="X514" s="974">
        <f t="shared" si="71"/>
        <v>5390</v>
      </c>
    </row>
    <row r="515" spans="1:24" s="13" customFormat="1" ht="48">
      <c r="A515" s="13" t="s">
        <v>806</v>
      </c>
      <c r="B515" s="667" t="s">
        <v>281</v>
      </c>
      <c r="C515" s="668" t="s">
        <v>34</v>
      </c>
      <c r="D515" s="959" t="s">
        <v>265</v>
      </c>
      <c r="E515" s="976">
        <f t="shared" si="68"/>
        <v>91158</v>
      </c>
      <c r="F515" s="976">
        <f t="shared" si="69"/>
        <v>50000</v>
      </c>
      <c r="G515" s="977">
        <f>SUM(G516:G516)</f>
        <v>50000</v>
      </c>
      <c r="H515" s="978">
        <f>SUM(H516:H516)</f>
        <v>0</v>
      </c>
      <c r="I515" s="978">
        <f>SUM(I516:I516)</f>
        <v>0</v>
      </c>
      <c r="J515" s="978">
        <f>SUM(J516:J516)</f>
        <v>0</v>
      </c>
      <c r="K515" s="978">
        <f>SUM(K516:K516)</f>
        <v>0</v>
      </c>
      <c r="L515" s="976">
        <f t="shared" si="65"/>
        <v>41158</v>
      </c>
      <c r="M515" s="977">
        <f t="shared" ref="M515:X515" si="72">SUM(M516:M516)</f>
        <v>3840</v>
      </c>
      <c r="N515" s="977">
        <f t="shared" si="72"/>
        <v>0</v>
      </c>
      <c r="O515" s="977">
        <f t="shared" si="72"/>
        <v>1600</v>
      </c>
      <c r="P515" s="977">
        <f t="shared" si="72"/>
        <v>2400</v>
      </c>
      <c r="Q515" s="977">
        <f t="shared" si="72"/>
        <v>6736</v>
      </c>
      <c r="R515" s="977">
        <f t="shared" si="72"/>
        <v>1280</v>
      </c>
      <c r="S515" s="977">
        <f t="shared" si="72"/>
        <v>1520</v>
      </c>
      <c r="T515" s="977">
        <f t="shared" si="72"/>
        <v>0</v>
      </c>
      <c r="U515" s="977">
        <f t="shared" si="72"/>
        <v>10392</v>
      </c>
      <c r="V515" s="977">
        <f t="shared" si="72"/>
        <v>8000</v>
      </c>
      <c r="W515" s="977">
        <f t="shared" si="72"/>
        <v>0</v>
      </c>
      <c r="X515" s="977">
        <f t="shared" si="72"/>
        <v>5390</v>
      </c>
    </row>
    <row r="516" spans="1:24" s="24" customFormat="1" ht="36">
      <c r="B516" s="618">
        <v>1</v>
      </c>
      <c r="C516" s="669" t="s">
        <v>34</v>
      </c>
      <c r="D516" s="958" t="s">
        <v>424</v>
      </c>
      <c r="E516" s="1047">
        <f t="shared" si="68"/>
        <v>91158</v>
      </c>
      <c r="F516" s="1047">
        <f t="shared" si="69"/>
        <v>50000</v>
      </c>
      <c r="G516" s="979">
        <v>50000</v>
      </c>
      <c r="H516" s="980"/>
      <c r="I516" s="980"/>
      <c r="J516" s="980"/>
      <c r="K516" s="980"/>
      <c r="L516" s="1047">
        <f t="shared" si="65"/>
        <v>41158</v>
      </c>
      <c r="M516" s="979">
        <v>3840</v>
      </c>
      <c r="N516" s="979"/>
      <c r="O516" s="979">
        <v>1600</v>
      </c>
      <c r="P516" s="979">
        <v>2400</v>
      </c>
      <c r="Q516" s="979">
        <v>6736</v>
      </c>
      <c r="R516" s="979">
        <v>1280</v>
      </c>
      <c r="S516" s="979">
        <v>1520</v>
      </c>
      <c r="T516" s="979"/>
      <c r="U516" s="979">
        <v>10392</v>
      </c>
      <c r="V516" s="979">
        <v>8000</v>
      </c>
      <c r="W516" s="979"/>
      <c r="X516" s="979">
        <v>5390</v>
      </c>
    </row>
    <row r="517" spans="1:24" s="13" customFormat="1" ht="48">
      <c r="A517" s="13" t="s">
        <v>807</v>
      </c>
      <c r="B517" s="670" t="s">
        <v>282</v>
      </c>
      <c r="C517" s="671" t="s">
        <v>1</v>
      </c>
      <c r="D517" s="959" t="s">
        <v>266</v>
      </c>
      <c r="E517" s="976">
        <f t="shared" si="68"/>
        <v>1538731</v>
      </c>
      <c r="F517" s="976">
        <f t="shared" si="69"/>
        <v>1028240</v>
      </c>
      <c r="G517" s="977">
        <f>SUM(G518:G522)</f>
        <v>0</v>
      </c>
      <c r="H517" s="978">
        <f t="shared" ref="H517:X517" si="73">SUM(H518:H522)</f>
        <v>1028240</v>
      </c>
      <c r="I517" s="978">
        <f t="shared" si="73"/>
        <v>0</v>
      </c>
      <c r="J517" s="978">
        <f t="shared" si="73"/>
        <v>0</v>
      </c>
      <c r="K517" s="978">
        <f t="shared" si="73"/>
        <v>0</v>
      </c>
      <c r="L517" s="976">
        <f t="shared" si="65"/>
        <v>510491</v>
      </c>
      <c r="M517" s="977">
        <f t="shared" si="73"/>
        <v>173853</v>
      </c>
      <c r="N517" s="977">
        <f t="shared" si="73"/>
        <v>92000</v>
      </c>
      <c r="O517" s="977">
        <f t="shared" si="73"/>
        <v>0</v>
      </c>
      <c r="P517" s="977">
        <f t="shared" si="73"/>
        <v>22320</v>
      </c>
      <c r="Q517" s="977">
        <f t="shared" si="73"/>
        <v>49358</v>
      </c>
      <c r="R517" s="977">
        <f t="shared" si="73"/>
        <v>20000</v>
      </c>
      <c r="S517" s="977">
        <f t="shared" si="73"/>
        <v>3040</v>
      </c>
      <c r="T517" s="977">
        <f t="shared" si="73"/>
        <v>47400</v>
      </c>
      <c r="U517" s="977">
        <f t="shared" si="73"/>
        <v>0</v>
      </c>
      <c r="V517" s="977">
        <f t="shared" si="73"/>
        <v>0</v>
      </c>
      <c r="W517" s="977">
        <f t="shared" si="73"/>
        <v>27520</v>
      </c>
      <c r="X517" s="977">
        <f t="shared" si="73"/>
        <v>75000</v>
      </c>
    </row>
    <row r="518" spans="1:24" s="8" customFormat="1" ht="36">
      <c r="B518" s="39">
        <v>1</v>
      </c>
      <c r="C518" s="631" t="s">
        <v>1</v>
      </c>
      <c r="D518" s="922" t="s">
        <v>544</v>
      </c>
      <c r="E518" s="1047">
        <f t="shared" si="68"/>
        <v>284980</v>
      </c>
      <c r="F518" s="1047">
        <f t="shared" si="69"/>
        <v>167200</v>
      </c>
      <c r="G518" s="1031"/>
      <c r="H518" s="999">
        <v>167200</v>
      </c>
      <c r="I518" s="999"/>
      <c r="J518" s="999"/>
      <c r="K518" s="999"/>
      <c r="L518" s="1047">
        <f t="shared" si="65"/>
        <v>117780</v>
      </c>
      <c r="M518" s="1031"/>
      <c r="N518" s="1031">
        <v>30000</v>
      </c>
      <c r="O518" s="1031"/>
      <c r="P518" s="1031"/>
      <c r="Q518" s="1031">
        <v>2180</v>
      </c>
      <c r="R518" s="1031">
        <v>20000</v>
      </c>
      <c r="S518" s="1031"/>
      <c r="T518" s="1031"/>
      <c r="U518" s="1031"/>
      <c r="V518" s="1031"/>
      <c r="W518" s="1031">
        <v>25600</v>
      </c>
      <c r="X518" s="1031">
        <v>40000</v>
      </c>
    </row>
    <row r="519" spans="1:24" s="8" customFormat="1" ht="60">
      <c r="B519" s="39">
        <v>2</v>
      </c>
      <c r="C519" s="631" t="s">
        <v>1</v>
      </c>
      <c r="D519" s="922" t="s">
        <v>545</v>
      </c>
      <c r="E519" s="1047">
        <f t="shared" si="68"/>
        <v>653675</v>
      </c>
      <c r="F519" s="1047">
        <f t="shared" si="69"/>
        <v>350800</v>
      </c>
      <c r="G519" s="1031"/>
      <c r="H519" s="999">
        <v>350800</v>
      </c>
      <c r="I519" s="999"/>
      <c r="J519" s="999"/>
      <c r="K519" s="999"/>
      <c r="L519" s="1047">
        <f t="shared" si="65"/>
        <v>302875</v>
      </c>
      <c r="M519" s="1031">
        <f>53680+106020+14153</f>
        <v>173853</v>
      </c>
      <c r="N519" s="1031">
        <v>30000</v>
      </c>
      <c r="O519" s="1031"/>
      <c r="P519" s="1031"/>
      <c r="Q519" s="1031">
        <v>40582</v>
      </c>
      <c r="R519" s="1031"/>
      <c r="S519" s="1031">
        <v>3040</v>
      </c>
      <c r="T519" s="1031">
        <v>45400</v>
      </c>
      <c r="U519" s="1031"/>
      <c r="V519" s="1031"/>
      <c r="W519" s="1031"/>
      <c r="X519" s="1031">
        <v>10000</v>
      </c>
    </row>
    <row r="520" spans="1:24" s="8" customFormat="1" ht="36">
      <c r="B520" s="39">
        <v>3</v>
      </c>
      <c r="C520" s="631" t="s">
        <v>1</v>
      </c>
      <c r="D520" s="922" t="s">
        <v>546</v>
      </c>
      <c r="E520" s="1047">
        <f t="shared" si="68"/>
        <v>63240</v>
      </c>
      <c r="F520" s="1047">
        <f t="shared" si="69"/>
        <v>61240</v>
      </c>
      <c r="G520" s="1031"/>
      <c r="H520" s="999">
        <v>61240</v>
      </c>
      <c r="I520" s="999"/>
      <c r="J520" s="999"/>
      <c r="K520" s="999"/>
      <c r="L520" s="1047">
        <f t="shared" si="65"/>
        <v>2000</v>
      </c>
      <c r="M520" s="1031"/>
      <c r="N520" s="1031">
        <v>2000</v>
      </c>
      <c r="O520" s="1031"/>
      <c r="P520" s="1031"/>
      <c r="Q520" s="1031"/>
      <c r="R520" s="1031"/>
      <c r="S520" s="1031"/>
      <c r="T520" s="1031"/>
      <c r="U520" s="1031"/>
      <c r="V520" s="1031"/>
      <c r="W520" s="1031"/>
      <c r="X520" s="1031"/>
    </row>
    <row r="521" spans="1:24" s="8" customFormat="1" ht="48">
      <c r="B521" s="39">
        <v>4</v>
      </c>
      <c r="C521" s="631" t="s">
        <v>1</v>
      </c>
      <c r="D521" s="922" t="s">
        <v>547</v>
      </c>
      <c r="E521" s="1047">
        <f t="shared" si="68"/>
        <v>451460</v>
      </c>
      <c r="F521" s="1047">
        <f t="shared" si="69"/>
        <v>425000</v>
      </c>
      <c r="G521" s="1031"/>
      <c r="H521" s="999">
        <v>425000</v>
      </c>
      <c r="I521" s="999"/>
      <c r="J521" s="999"/>
      <c r="K521" s="999"/>
      <c r="L521" s="1047">
        <f t="shared" si="65"/>
        <v>26460</v>
      </c>
      <c r="M521" s="1031"/>
      <c r="N521" s="1031">
        <v>5000</v>
      </c>
      <c r="O521" s="1031"/>
      <c r="P521" s="1031"/>
      <c r="Q521" s="1031">
        <v>500</v>
      </c>
      <c r="R521" s="1031"/>
      <c r="S521" s="1031"/>
      <c r="T521" s="1031"/>
      <c r="U521" s="1031"/>
      <c r="V521" s="1031"/>
      <c r="W521" s="1031">
        <v>960</v>
      </c>
      <c r="X521" s="1031">
        <v>20000</v>
      </c>
    </row>
    <row r="522" spans="1:24" s="8" customFormat="1" ht="24">
      <c r="B522" s="39">
        <v>5</v>
      </c>
      <c r="C522" s="631" t="s">
        <v>1</v>
      </c>
      <c r="D522" s="922" t="s">
        <v>548</v>
      </c>
      <c r="E522" s="1047">
        <f t="shared" si="68"/>
        <v>85376</v>
      </c>
      <c r="F522" s="1047">
        <f t="shared" si="69"/>
        <v>24000</v>
      </c>
      <c r="G522" s="1031"/>
      <c r="H522" s="999">
        <v>24000</v>
      </c>
      <c r="I522" s="999"/>
      <c r="J522" s="999"/>
      <c r="K522" s="999"/>
      <c r="L522" s="1047">
        <f t="shared" si="65"/>
        <v>61376</v>
      </c>
      <c r="M522" s="1031"/>
      <c r="N522" s="1031">
        <v>25000</v>
      </c>
      <c r="O522" s="1031"/>
      <c r="P522" s="1031">
        <v>22320</v>
      </c>
      <c r="Q522" s="1031">
        <v>6096</v>
      </c>
      <c r="R522" s="1031"/>
      <c r="S522" s="1031"/>
      <c r="T522" s="1031">
        <v>2000</v>
      </c>
      <c r="U522" s="1031"/>
      <c r="V522" s="1031"/>
      <c r="W522" s="1031">
        <v>960</v>
      </c>
      <c r="X522" s="1031">
        <v>5000</v>
      </c>
    </row>
    <row r="523" spans="1:24" s="70" customFormat="1" ht="48">
      <c r="A523" s="70" t="s">
        <v>808</v>
      </c>
      <c r="B523" s="672" t="s">
        <v>283</v>
      </c>
      <c r="C523" s="673" t="s">
        <v>2</v>
      </c>
      <c r="D523" s="967" t="s">
        <v>267</v>
      </c>
      <c r="E523" s="976">
        <f t="shared" si="68"/>
        <v>452298</v>
      </c>
      <c r="F523" s="976">
        <f t="shared" si="69"/>
        <v>269740</v>
      </c>
      <c r="G523" s="1048">
        <f>SUM(G524:G525)</f>
        <v>0</v>
      </c>
      <c r="H523" s="1049">
        <f t="shared" ref="H523:X523" si="74">SUM(H524:H525)</f>
        <v>0</v>
      </c>
      <c r="I523" s="1049">
        <f t="shared" si="74"/>
        <v>92540</v>
      </c>
      <c r="J523" s="1049">
        <f t="shared" si="74"/>
        <v>0</v>
      </c>
      <c r="K523" s="1049">
        <f t="shared" si="74"/>
        <v>177200</v>
      </c>
      <c r="L523" s="976">
        <f t="shared" si="65"/>
        <v>182558</v>
      </c>
      <c r="M523" s="1048">
        <f t="shared" si="74"/>
        <v>12480</v>
      </c>
      <c r="N523" s="1048">
        <f t="shared" si="74"/>
        <v>4440</v>
      </c>
      <c r="O523" s="1048">
        <f t="shared" si="74"/>
        <v>6876</v>
      </c>
      <c r="P523" s="1048">
        <f t="shared" si="74"/>
        <v>37630</v>
      </c>
      <c r="Q523" s="1048">
        <f t="shared" si="74"/>
        <v>18596</v>
      </c>
      <c r="R523" s="1048">
        <f t="shared" si="74"/>
        <v>15280</v>
      </c>
      <c r="S523" s="1048">
        <f t="shared" si="74"/>
        <v>19190</v>
      </c>
      <c r="T523" s="1048">
        <f t="shared" si="74"/>
        <v>14310</v>
      </c>
      <c r="U523" s="1048">
        <f t="shared" si="74"/>
        <v>21336</v>
      </c>
      <c r="V523" s="1048">
        <f t="shared" si="74"/>
        <v>10250</v>
      </c>
      <c r="W523" s="1048">
        <f t="shared" si="74"/>
        <v>7080</v>
      </c>
      <c r="X523" s="1048">
        <f t="shared" si="74"/>
        <v>15090</v>
      </c>
    </row>
    <row r="524" spans="1:24" s="8" customFormat="1" ht="48">
      <c r="B524" s="674">
        <v>1</v>
      </c>
      <c r="C524" s="633" t="s">
        <v>2</v>
      </c>
      <c r="D524" s="871" t="s">
        <v>303</v>
      </c>
      <c r="E524" s="1047">
        <f t="shared" si="68"/>
        <v>208790</v>
      </c>
      <c r="F524" s="1047">
        <f t="shared" si="69"/>
        <v>92540</v>
      </c>
      <c r="G524" s="995"/>
      <c r="H524" s="994"/>
      <c r="I524" s="994">
        <v>92540</v>
      </c>
      <c r="J524" s="994"/>
      <c r="K524" s="994"/>
      <c r="L524" s="1047">
        <f t="shared" si="65"/>
        <v>116250</v>
      </c>
      <c r="M524" s="985">
        <v>9600</v>
      </c>
      <c r="N524" s="985">
        <v>1440</v>
      </c>
      <c r="O524" s="985">
        <v>5160</v>
      </c>
      <c r="P524" s="985">
        <f>13230+2400</f>
        <v>15630</v>
      </c>
      <c r="Q524" s="985">
        <v>11860</v>
      </c>
      <c r="R524" s="985">
        <v>7440</v>
      </c>
      <c r="S524" s="985">
        <v>17670</v>
      </c>
      <c r="T524" s="985">
        <v>14310</v>
      </c>
      <c r="U524" s="985">
        <v>11360</v>
      </c>
      <c r="V524" s="985">
        <v>8370</v>
      </c>
      <c r="W524" s="985">
        <v>5040</v>
      </c>
      <c r="X524" s="985">
        <v>8370</v>
      </c>
    </row>
    <row r="525" spans="1:24" s="20" customFormat="1" ht="24">
      <c r="B525" s="40">
        <v>2</v>
      </c>
      <c r="C525" s="633" t="s">
        <v>2</v>
      </c>
      <c r="D525" s="969" t="s">
        <v>295</v>
      </c>
      <c r="E525" s="1047">
        <f t="shared" si="68"/>
        <v>243508</v>
      </c>
      <c r="F525" s="1047">
        <f t="shared" si="69"/>
        <v>177200</v>
      </c>
      <c r="G525" s="1041"/>
      <c r="H525" s="1050"/>
      <c r="I525" s="1050"/>
      <c r="J525" s="1050"/>
      <c r="K525" s="1050">
        <v>177200</v>
      </c>
      <c r="L525" s="1047">
        <f t="shared" si="65"/>
        <v>66308</v>
      </c>
      <c r="M525" s="1041">
        <v>2880</v>
      </c>
      <c r="N525" s="1041">
        <v>3000</v>
      </c>
      <c r="O525" s="1041">
        <v>1716</v>
      </c>
      <c r="P525" s="995">
        <v>22000</v>
      </c>
      <c r="Q525" s="1041">
        <v>6736</v>
      </c>
      <c r="R525" s="1041">
        <f>3280+4560</f>
        <v>7840</v>
      </c>
      <c r="S525" s="1041">
        <v>1520</v>
      </c>
      <c r="T525" s="1041"/>
      <c r="U525" s="1041">
        <v>9976</v>
      </c>
      <c r="V525" s="1041">
        <v>1880</v>
      </c>
      <c r="W525" s="1041">
        <v>2040</v>
      </c>
      <c r="X525" s="1041">
        <v>6720</v>
      </c>
    </row>
    <row r="526" spans="1:24" s="70" customFormat="1" ht="84">
      <c r="A526" s="70" t="s">
        <v>809</v>
      </c>
      <c r="B526" s="672" t="s">
        <v>284</v>
      </c>
      <c r="C526" s="673" t="s">
        <v>582</v>
      </c>
      <c r="D526" s="967" t="s">
        <v>279</v>
      </c>
      <c r="E526" s="976">
        <f t="shared" si="68"/>
        <v>163280</v>
      </c>
      <c r="F526" s="976">
        <f t="shared" si="69"/>
        <v>163280</v>
      </c>
      <c r="G526" s="1048">
        <f>SUM(G527:G531)</f>
        <v>0</v>
      </c>
      <c r="H526" s="1049">
        <f t="shared" ref="H526:X526" si="75">SUM(H527:H531)</f>
        <v>0</v>
      </c>
      <c r="I526" s="1049">
        <f t="shared" si="75"/>
        <v>0</v>
      </c>
      <c r="J526" s="1049">
        <f t="shared" si="75"/>
        <v>163280</v>
      </c>
      <c r="K526" s="1049">
        <f t="shared" si="75"/>
        <v>0</v>
      </c>
      <c r="L526" s="976">
        <f t="shared" si="65"/>
        <v>0</v>
      </c>
      <c r="M526" s="1048">
        <f t="shared" si="75"/>
        <v>0</v>
      </c>
      <c r="N526" s="1048">
        <f t="shared" si="75"/>
        <v>0</v>
      </c>
      <c r="O526" s="1048">
        <f t="shared" si="75"/>
        <v>0</v>
      </c>
      <c r="P526" s="1048">
        <f t="shared" si="75"/>
        <v>0</v>
      </c>
      <c r="Q526" s="1048">
        <f t="shared" si="75"/>
        <v>0</v>
      </c>
      <c r="R526" s="1048">
        <f t="shared" si="75"/>
        <v>0</v>
      </c>
      <c r="S526" s="1048">
        <f t="shared" si="75"/>
        <v>0</v>
      </c>
      <c r="T526" s="1048">
        <f t="shared" si="75"/>
        <v>0</v>
      </c>
      <c r="U526" s="1048">
        <f t="shared" si="75"/>
        <v>0</v>
      </c>
      <c r="V526" s="1048">
        <f t="shared" si="75"/>
        <v>0</v>
      </c>
      <c r="W526" s="1048">
        <f t="shared" si="75"/>
        <v>0</v>
      </c>
      <c r="X526" s="1048">
        <f t="shared" si="75"/>
        <v>0</v>
      </c>
    </row>
    <row r="527" spans="1:24" s="8" customFormat="1" ht="36">
      <c r="B527" s="43"/>
      <c r="C527" s="633" t="s">
        <v>582</v>
      </c>
      <c r="D527" s="970" t="s">
        <v>225</v>
      </c>
      <c r="E527" s="1047">
        <f t="shared" si="68"/>
        <v>40000</v>
      </c>
      <c r="F527" s="1047">
        <f t="shared" si="69"/>
        <v>40000</v>
      </c>
      <c r="G527" s="1031"/>
      <c r="H527" s="999"/>
      <c r="I527" s="999"/>
      <c r="J527" s="999">
        <v>40000</v>
      </c>
      <c r="K527" s="999"/>
      <c r="L527" s="1047">
        <f t="shared" si="65"/>
        <v>0</v>
      </c>
      <c r="M527" s="1031"/>
      <c r="N527" s="1031"/>
      <c r="O527" s="1031"/>
      <c r="P527" s="1031"/>
      <c r="Q527" s="1031"/>
      <c r="R527" s="1031"/>
      <c r="S527" s="1031"/>
      <c r="T527" s="1031"/>
      <c r="U527" s="1031"/>
      <c r="V527" s="1031"/>
      <c r="W527" s="1031"/>
      <c r="X527" s="1031"/>
    </row>
    <row r="528" spans="1:24" s="8" customFormat="1" ht="36">
      <c r="B528" s="43">
        <v>1</v>
      </c>
      <c r="C528" s="633" t="s">
        <v>582</v>
      </c>
      <c r="D528" s="970" t="s">
        <v>576</v>
      </c>
      <c r="E528" s="1047">
        <f t="shared" si="68"/>
        <v>60000</v>
      </c>
      <c r="F528" s="1047">
        <f t="shared" si="69"/>
        <v>60000</v>
      </c>
      <c r="G528" s="1025"/>
      <c r="H528" s="999"/>
      <c r="I528" s="999"/>
      <c r="J528" s="999">
        <v>60000</v>
      </c>
      <c r="K528" s="999"/>
      <c r="L528" s="1047">
        <f t="shared" si="65"/>
        <v>0</v>
      </c>
      <c r="M528" s="1025"/>
      <c r="N528" s="1025"/>
      <c r="O528" s="1025"/>
      <c r="P528" s="1025"/>
      <c r="Q528" s="1025"/>
      <c r="R528" s="1025"/>
      <c r="S528" s="1025"/>
      <c r="T528" s="1025"/>
      <c r="U528" s="1031"/>
      <c r="V528" s="1025"/>
      <c r="W528" s="1025"/>
      <c r="X528" s="1025"/>
    </row>
    <row r="529" spans="2:24" s="8" customFormat="1" ht="48">
      <c r="B529" s="43">
        <v>2</v>
      </c>
      <c r="C529" s="633" t="s">
        <v>582</v>
      </c>
      <c r="D529" s="970" t="s">
        <v>229</v>
      </c>
      <c r="E529" s="1047">
        <f t="shared" si="68"/>
        <v>50000</v>
      </c>
      <c r="F529" s="1047">
        <f t="shared" si="69"/>
        <v>50000</v>
      </c>
      <c r="G529" s="1025"/>
      <c r="H529" s="999"/>
      <c r="I529" s="999"/>
      <c r="J529" s="999">
        <v>50000</v>
      </c>
      <c r="K529" s="999"/>
      <c r="L529" s="1047">
        <f t="shared" si="65"/>
        <v>0</v>
      </c>
      <c r="M529" s="1025"/>
      <c r="N529" s="1025"/>
      <c r="O529" s="1025"/>
      <c r="P529" s="1025"/>
      <c r="Q529" s="1025"/>
      <c r="R529" s="1025"/>
      <c r="S529" s="1025"/>
      <c r="T529" s="1025"/>
      <c r="U529" s="1031"/>
      <c r="V529" s="1025"/>
      <c r="W529" s="1025"/>
      <c r="X529" s="1025"/>
    </row>
    <row r="530" spans="2:24" s="8" customFormat="1" ht="48">
      <c r="B530" s="43">
        <v>3</v>
      </c>
      <c r="C530" s="633" t="s">
        <v>582</v>
      </c>
      <c r="D530" s="970" t="s">
        <v>285</v>
      </c>
      <c r="E530" s="1047">
        <f t="shared" si="68"/>
        <v>5000</v>
      </c>
      <c r="F530" s="1047">
        <f t="shared" si="69"/>
        <v>5000</v>
      </c>
      <c r="G530" s="1051"/>
      <c r="H530" s="1052"/>
      <c r="I530" s="1052"/>
      <c r="J530" s="1052">
        <v>5000</v>
      </c>
      <c r="K530" s="1052">
        <v>0</v>
      </c>
      <c r="L530" s="1047">
        <f t="shared" si="65"/>
        <v>0</v>
      </c>
      <c r="M530" s="1051">
        <v>0</v>
      </c>
      <c r="N530" s="1051">
        <v>0</v>
      </c>
      <c r="O530" s="1051">
        <v>0</v>
      </c>
      <c r="P530" s="1051">
        <v>0</v>
      </c>
      <c r="Q530" s="1051">
        <v>0</v>
      </c>
      <c r="R530" s="1051">
        <v>0</v>
      </c>
      <c r="S530" s="1051">
        <v>0</v>
      </c>
      <c r="T530" s="1051">
        <v>0</v>
      </c>
      <c r="U530" s="1051">
        <v>0</v>
      </c>
      <c r="V530" s="1051">
        <v>0</v>
      </c>
      <c r="W530" s="1051">
        <v>0</v>
      </c>
      <c r="X530" s="1051">
        <v>0</v>
      </c>
    </row>
    <row r="531" spans="2:24" s="15" customFormat="1" ht="84">
      <c r="B531" s="42">
        <v>4</v>
      </c>
      <c r="C531" s="633" t="s">
        <v>582</v>
      </c>
      <c r="D531" s="971" t="s">
        <v>577</v>
      </c>
      <c r="E531" s="1047">
        <f t="shared" si="68"/>
        <v>8280</v>
      </c>
      <c r="F531" s="1047">
        <f t="shared" si="69"/>
        <v>8280</v>
      </c>
      <c r="G531" s="1053"/>
      <c r="H531" s="1054"/>
      <c r="I531" s="1054"/>
      <c r="J531" s="1054">
        <v>8280</v>
      </c>
      <c r="K531" s="1054"/>
      <c r="L531" s="1047">
        <f t="shared" si="65"/>
        <v>0</v>
      </c>
      <c r="M531" s="1053"/>
      <c r="N531" s="1053"/>
      <c r="O531" s="1053"/>
      <c r="P531" s="1053"/>
      <c r="Q531" s="1053"/>
      <c r="R531" s="1053"/>
      <c r="S531" s="1053"/>
      <c r="T531" s="1053"/>
      <c r="U531" s="1053"/>
      <c r="V531" s="1053"/>
      <c r="W531" s="1053"/>
      <c r="X531" s="1053"/>
    </row>
    <row r="532" spans="2:24" s="65" customFormat="1">
      <c r="B532" s="42"/>
      <c r="C532" s="675"/>
      <c r="D532" s="971"/>
      <c r="E532" s="973"/>
      <c r="F532" s="973"/>
      <c r="G532" s="1055"/>
      <c r="H532" s="1056"/>
      <c r="I532" s="1056"/>
      <c r="J532" s="1054"/>
      <c r="K532" s="1056"/>
      <c r="L532" s="973"/>
      <c r="M532" s="1055"/>
      <c r="N532" s="1055"/>
      <c r="O532" s="1055"/>
      <c r="P532" s="1055"/>
      <c r="Q532" s="1055"/>
      <c r="R532" s="1055"/>
      <c r="S532" s="1055"/>
      <c r="T532" s="1055"/>
      <c r="U532" s="1055"/>
      <c r="V532" s="1055"/>
      <c r="W532" s="1055"/>
      <c r="X532" s="1055"/>
    </row>
    <row r="533" spans="2:24" s="65" customFormat="1">
      <c r="B533" s="676"/>
      <c r="C533" s="677"/>
      <c r="D533" s="678"/>
      <c r="E533" s="810"/>
      <c r="F533" s="810"/>
      <c r="G533" s="811"/>
      <c r="H533" s="812"/>
      <c r="I533" s="812"/>
      <c r="J533" s="813"/>
      <c r="K533" s="812"/>
      <c r="L533" s="810"/>
      <c r="M533" s="811"/>
      <c r="N533" s="811"/>
      <c r="O533" s="811"/>
      <c r="P533" s="811"/>
      <c r="Q533" s="811"/>
      <c r="R533" s="811"/>
      <c r="S533" s="1885" t="s">
        <v>594</v>
      </c>
      <c r="T533" s="1885"/>
      <c r="U533" s="1885"/>
      <c r="V533" s="1885"/>
      <c r="W533" s="1885"/>
      <c r="X533" s="1885"/>
    </row>
    <row r="535" spans="2:24">
      <c r="B535" s="11"/>
      <c r="C535" s="11"/>
      <c r="D535" s="1904" t="s">
        <v>534</v>
      </c>
      <c r="E535" s="1904"/>
      <c r="F535" s="1904"/>
      <c r="G535" s="1904"/>
      <c r="M535" s="1905" t="s">
        <v>535</v>
      </c>
      <c r="N535" s="1905"/>
      <c r="O535" s="1905"/>
      <c r="P535" s="1905"/>
      <c r="Q535" s="1905"/>
      <c r="R535" s="1905"/>
      <c r="T535" s="1905" t="s">
        <v>536</v>
      </c>
      <c r="U535" s="1905"/>
      <c r="V535" s="1905"/>
      <c r="W535" s="1905"/>
    </row>
    <row r="536" spans="2:24">
      <c r="B536" s="11"/>
      <c r="C536" s="11"/>
      <c r="O536" s="1905"/>
      <c r="P536" s="1905"/>
      <c r="Q536" s="1905"/>
      <c r="R536" s="1905"/>
      <c r="S536" s="1905"/>
      <c r="T536" s="1905"/>
      <c r="U536" s="1905"/>
      <c r="V536" s="1905"/>
      <c r="W536" s="1905"/>
      <c r="X536" s="1905"/>
    </row>
    <row r="542" spans="2:24">
      <c r="D542" s="1904" t="s">
        <v>820</v>
      </c>
      <c r="E542" s="1904"/>
      <c r="F542" s="1904"/>
      <c r="G542" s="1904"/>
      <c r="M542" s="1905" t="s">
        <v>592</v>
      </c>
      <c r="N542" s="1905"/>
      <c r="O542" s="1905"/>
      <c r="P542" s="1905"/>
      <c r="Q542" s="1905"/>
      <c r="R542" s="1905"/>
      <c r="T542" s="1905" t="s">
        <v>593</v>
      </c>
      <c r="U542" s="1905"/>
      <c r="V542" s="1905"/>
      <c r="W542" s="1905"/>
    </row>
    <row r="543" spans="2:24">
      <c r="B543" s="11"/>
      <c r="C543" s="11"/>
      <c r="M543" s="1905"/>
      <c r="N543" s="1905"/>
      <c r="O543" s="1905"/>
      <c r="P543" s="1905"/>
      <c r="Q543" s="1905"/>
      <c r="R543" s="1905"/>
    </row>
  </sheetData>
  <autoFilter ref="A9:BF531"/>
  <mergeCells count="20">
    <mergeCell ref="D535:G535"/>
    <mergeCell ref="M535:R535"/>
    <mergeCell ref="M543:R543"/>
    <mergeCell ref="T535:W535"/>
    <mergeCell ref="O536:Q536"/>
    <mergeCell ref="R536:T536"/>
    <mergeCell ref="U536:X536"/>
    <mergeCell ref="D542:G542"/>
    <mergeCell ref="M542:R542"/>
    <mergeCell ref="T542:W542"/>
    <mergeCell ref="S533:X533"/>
    <mergeCell ref="B2:X2"/>
    <mergeCell ref="F5:K6"/>
    <mergeCell ref="L5:X6"/>
    <mergeCell ref="E4:X4"/>
    <mergeCell ref="B4:B7"/>
    <mergeCell ref="D4:D7"/>
    <mergeCell ref="U3:X3"/>
    <mergeCell ref="E5:E8"/>
    <mergeCell ref="C4:C7"/>
  </mergeCells>
  <printOptions horizontalCentered="1"/>
  <pageMargins left="0" right="0" top="0.5" bottom="0.5" header="0.3" footer="0.3"/>
  <pageSetup paperSize="9" scale="7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tabSelected="1" topLeftCell="A58" workbookViewId="0">
      <selection activeCell="C69" sqref="C69"/>
    </sheetView>
  </sheetViews>
  <sheetFormatPr defaultRowHeight="16.5"/>
  <cols>
    <col min="1" max="1" width="7.85546875" style="1798" customWidth="1"/>
    <col min="2" max="2" width="9.7109375" style="1799" customWidth="1"/>
    <col min="3" max="3" width="40.42578125" style="1793" customWidth="1"/>
    <col min="4" max="4" width="9.42578125" style="1799" bestFit="1" customWidth="1"/>
    <col min="5" max="5" width="7.42578125" style="1800" bestFit="1" customWidth="1"/>
    <col min="6" max="6" width="17" style="1827" bestFit="1" customWidth="1"/>
    <col min="7" max="7" width="18.140625" style="1800" bestFit="1" customWidth="1"/>
    <col min="8" max="8" width="12" style="1793" customWidth="1"/>
    <col min="9" max="9" width="9.140625" style="1793"/>
    <col min="10" max="10" width="17.42578125" style="1793" customWidth="1"/>
    <col min="11" max="12" width="9.140625" style="1793"/>
    <col min="13" max="13" width="15.28515625" style="1793" customWidth="1"/>
    <col min="14" max="16384" width="9.140625" style="1793"/>
  </cols>
  <sheetData>
    <row r="1" spans="1:10" ht="9" customHeight="1">
      <c r="A1" s="1792"/>
      <c r="B1" s="1794"/>
      <c r="C1" s="1795"/>
      <c r="D1" s="1794"/>
      <c r="E1" s="1796"/>
      <c r="F1" s="1797"/>
      <c r="G1" s="1795"/>
    </row>
    <row r="2" spans="1:10" ht="68.25" customHeight="1">
      <c r="A2" s="2024" t="s">
        <v>1149</v>
      </c>
      <c r="B2" s="2024"/>
      <c r="C2" s="2024"/>
      <c r="D2" s="2024"/>
      <c r="E2" s="2024"/>
      <c r="F2" s="2024"/>
      <c r="G2" s="2024"/>
      <c r="H2" s="2024"/>
    </row>
    <row r="3" spans="1:10">
      <c r="F3" s="2023" t="s">
        <v>746</v>
      </c>
      <c r="G3" s="2023"/>
      <c r="H3" s="2023"/>
    </row>
    <row r="4" spans="1:10" ht="51.75" customHeight="1">
      <c r="A4" s="1873" t="s">
        <v>1046</v>
      </c>
      <c r="B4" s="1873" t="s">
        <v>1031</v>
      </c>
      <c r="C4" s="1874" t="s">
        <v>751</v>
      </c>
      <c r="D4" s="1874" t="s">
        <v>1097</v>
      </c>
      <c r="E4" s="1875" t="s">
        <v>903</v>
      </c>
      <c r="F4" s="1875" t="s">
        <v>1032</v>
      </c>
      <c r="G4" s="1875" t="s">
        <v>907</v>
      </c>
      <c r="H4" s="1875" t="s">
        <v>870</v>
      </c>
    </row>
    <row r="5" spans="1:10" ht="21.75" customHeight="1">
      <c r="A5" s="1747"/>
      <c r="B5" s="1781"/>
      <c r="C5" s="1781" t="s">
        <v>244</v>
      </c>
      <c r="D5" s="1781"/>
      <c r="E5" s="1727"/>
      <c r="F5" s="1770"/>
      <c r="G5" s="1727"/>
      <c r="H5" s="1801"/>
      <c r="J5" s="1872"/>
    </row>
    <row r="6" spans="1:10" ht="24" customHeight="1">
      <c r="A6" s="1788"/>
      <c r="B6" s="1789"/>
      <c r="C6" s="1788" t="s">
        <v>238</v>
      </c>
      <c r="D6" s="1788"/>
      <c r="E6" s="1790"/>
      <c r="F6" s="1791"/>
      <c r="G6" s="1790">
        <f>G7+G41+G57</f>
        <v>2750000000</v>
      </c>
      <c r="H6" s="1802"/>
    </row>
    <row r="7" spans="1:10" ht="33">
      <c r="A7" s="1784">
        <v>19</v>
      </c>
      <c r="B7" s="1785"/>
      <c r="C7" s="1786" t="s">
        <v>28</v>
      </c>
      <c r="D7" s="1856"/>
      <c r="E7" s="1787"/>
      <c r="F7" s="1787"/>
      <c r="G7" s="1787">
        <f>G8+G12+G17+G39+G18+G38+G40</f>
        <v>1670140000</v>
      </c>
      <c r="H7" s="1803"/>
    </row>
    <row r="8" spans="1:10" ht="33">
      <c r="A8" s="1828"/>
      <c r="B8" s="1829">
        <v>1</v>
      </c>
      <c r="C8" s="1830" t="s">
        <v>1048</v>
      </c>
      <c r="D8" s="1857"/>
      <c r="E8" s="1831"/>
      <c r="F8" s="1831"/>
      <c r="G8" s="1831">
        <f>SUM(G9:G11)</f>
        <v>187500000</v>
      </c>
      <c r="H8" s="1832"/>
    </row>
    <row r="9" spans="1:10">
      <c r="A9" s="1733"/>
      <c r="B9" s="1729"/>
      <c r="C9" s="1736" t="s">
        <v>1120</v>
      </c>
      <c r="D9" s="1813" t="s">
        <v>1098</v>
      </c>
      <c r="E9" s="1854">
        <v>200</v>
      </c>
      <c r="F9" s="1854">
        <v>200000</v>
      </c>
      <c r="G9" s="1854">
        <f>E9*F9</f>
        <v>40000000</v>
      </c>
      <c r="H9" s="1855"/>
    </row>
    <row r="10" spans="1:10">
      <c r="A10" s="1733"/>
      <c r="B10" s="1729"/>
      <c r="C10" s="1736" t="s">
        <v>1119</v>
      </c>
      <c r="D10" s="1813" t="s">
        <v>1104</v>
      </c>
      <c r="E10" s="1854">
        <v>150</v>
      </c>
      <c r="F10" s="1854">
        <v>450000</v>
      </c>
      <c r="G10" s="1854">
        <f t="shared" ref="G10" si="0">E10*F10</f>
        <v>67500000</v>
      </c>
      <c r="H10" s="1855"/>
    </row>
    <row r="11" spans="1:10">
      <c r="A11" s="1733"/>
      <c r="B11" s="1729"/>
      <c r="C11" s="1736" t="s">
        <v>1036</v>
      </c>
      <c r="D11" s="1813"/>
      <c r="E11" s="1854"/>
      <c r="F11" s="1854"/>
      <c r="G11" s="1854">
        <v>80000000</v>
      </c>
      <c r="H11" s="1855"/>
      <c r="J11" s="1872"/>
    </row>
    <row r="12" spans="1:10" ht="49.5">
      <c r="A12" s="1828"/>
      <c r="B12" s="1829">
        <v>2</v>
      </c>
      <c r="C12" s="1833" t="s">
        <v>1135</v>
      </c>
      <c r="D12" s="1858"/>
      <c r="E12" s="1834"/>
      <c r="F12" s="1834"/>
      <c r="G12" s="1834">
        <f>SUM(G13:G16)</f>
        <v>580000000</v>
      </c>
      <c r="H12" s="1832"/>
    </row>
    <row r="13" spans="1:10" s="1805" customFormat="1" ht="66">
      <c r="A13" s="1733"/>
      <c r="B13" s="1729"/>
      <c r="C13" s="1711" t="s">
        <v>1049</v>
      </c>
      <c r="D13" s="1859" t="s">
        <v>1121</v>
      </c>
      <c r="E13" s="1719">
        <v>12</v>
      </c>
      <c r="F13" s="1714" t="s">
        <v>1122</v>
      </c>
      <c r="G13" s="1720">
        <v>185000000</v>
      </c>
      <c r="H13" s="1804"/>
    </row>
    <row r="14" spans="1:10" s="1805" customFormat="1" ht="33">
      <c r="A14" s="1733"/>
      <c r="B14" s="1729"/>
      <c r="C14" s="1712" t="s">
        <v>1145</v>
      </c>
      <c r="D14" s="1752" t="s">
        <v>1123</v>
      </c>
      <c r="E14" s="1721">
        <v>12</v>
      </c>
      <c r="F14" s="1715" t="s">
        <v>1147</v>
      </c>
      <c r="G14" s="1715">
        <v>125000000</v>
      </c>
      <c r="H14" s="1804"/>
    </row>
    <row r="15" spans="1:10" s="1805" customFormat="1" ht="49.5">
      <c r="A15" s="1733"/>
      <c r="B15" s="1729"/>
      <c r="C15" s="1712" t="s">
        <v>1146</v>
      </c>
      <c r="D15" s="1752" t="s">
        <v>1123</v>
      </c>
      <c r="E15" s="1721">
        <v>12</v>
      </c>
      <c r="F15" s="1715" t="s">
        <v>1148</v>
      </c>
      <c r="G15" s="1715">
        <v>150000000</v>
      </c>
      <c r="H15" s="1804"/>
    </row>
    <row r="16" spans="1:10" s="1805" customFormat="1" ht="33">
      <c r="A16" s="1733"/>
      <c r="B16" s="1729"/>
      <c r="C16" s="1713" t="s">
        <v>1050</v>
      </c>
      <c r="D16" s="1752" t="s">
        <v>1121</v>
      </c>
      <c r="E16" s="1722">
        <v>2</v>
      </c>
      <c r="F16" s="1716" t="s">
        <v>1124</v>
      </c>
      <c r="G16" s="1716">
        <v>120000000</v>
      </c>
      <c r="H16" s="1804"/>
    </row>
    <row r="17" spans="1:13" ht="49.5">
      <c r="A17" s="1828"/>
      <c r="B17" s="1829">
        <v>3</v>
      </c>
      <c r="C17" s="1830" t="s">
        <v>1136</v>
      </c>
      <c r="D17" s="1857" t="s">
        <v>1125</v>
      </c>
      <c r="E17" s="1834">
        <v>1</v>
      </c>
      <c r="F17" s="1834">
        <v>150000000</v>
      </c>
      <c r="G17" s="1834">
        <f>E17*F17</f>
        <v>150000000</v>
      </c>
      <c r="H17" s="1832"/>
    </row>
    <row r="18" spans="1:13" s="1807" customFormat="1" ht="33">
      <c r="A18" s="1828"/>
      <c r="B18" s="1828">
        <v>4</v>
      </c>
      <c r="C18" s="1837" t="s">
        <v>30</v>
      </c>
      <c r="D18" s="1860"/>
      <c r="E18" s="1834"/>
      <c r="F18" s="1834"/>
      <c r="G18" s="1836">
        <f>G19+G33+G37</f>
        <v>518900000</v>
      </c>
      <c r="H18" s="1838"/>
    </row>
    <row r="19" spans="1:13" s="1807" customFormat="1" ht="33">
      <c r="A19" s="1733"/>
      <c r="B19" s="1733" t="s">
        <v>1127</v>
      </c>
      <c r="C19" s="1783" t="s">
        <v>1053</v>
      </c>
      <c r="D19" s="1861"/>
      <c r="E19" s="1734"/>
      <c r="F19" s="1734"/>
      <c r="G19" s="1739">
        <f>G20+G26+G31</f>
        <v>418200000</v>
      </c>
      <c r="H19" s="1806"/>
    </row>
    <row r="20" spans="1:13" ht="49.5">
      <c r="A20" s="1733"/>
      <c r="B20" s="1750" t="s">
        <v>1054</v>
      </c>
      <c r="C20" s="1736" t="s">
        <v>1109</v>
      </c>
      <c r="D20" s="1813"/>
      <c r="E20" s="1734"/>
      <c r="F20" s="1734"/>
      <c r="G20" s="1734">
        <f>SUM(G21+G22+G23+G24+G25)</f>
        <v>101200000</v>
      </c>
      <c r="H20" s="1801"/>
    </row>
    <row r="21" spans="1:13" s="1811" customFormat="1">
      <c r="A21" s="1733"/>
      <c r="B21" s="1732"/>
      <c r="C21" s="1712" t="s">
        <v>1042</v>
      </c>
      <c r="D21" s="1752" t="s">
        <v>1099</v>
      </c>
      <c r="E21" s="1808"/>
      <c r="F21" s="1809"/>
      <c r="G21" s="1734">
        <v>15000000</v>
      </c>
      <c r="H21" s="1810"/>
    </row>
    <row r="22" spans="1:13" s="1811" customFormat="1" ht="24" customHeight="1">
      <c r="A22" s="1733"/>
      <c r="B22" s="1732"/>
      <c r="C22" s="1712" t="s">
        <v>1043</v>
      </c>
      <c r="D22" s="1752" t="s">
        <v>1100</v>
      </c>
      <c r="E22" s="1808"/>
      <c r="F22" s="1809"/>
      <c r="G22" s="1734">
        <v>70000000</v>
      </c>
      <c r="H22" s="1810"/>
    </row>
    <row r="23" spans="1:13" s="1811" customFormat="1">
      <c r="A23" s="1733"/>
      <c r="B23" s="1732"/>
      <c r="C23" s="1712" t="s">
        <v>1091</v>
      </c>
      <c r="D23" s="1752" t="s">
        <v>1098</v>
      </c>
      <c r="E23" s="1808">
        <v>20</v>
      </c>
      <c r="F23" s="1809">
        <v>180000</v>
      </c>
      <c r="G23" s="1734">
        <f>E23*F23</f>
        <v>3600000</v>
      </c>
      <c r="H23" s="1810"/>
    </row>
    <row r="24" spans="1:13" s="1811" customFormat="1" ht="33">
      <c r="A24" s="1733"/>
      <c r="B24" s="1732"/>
      <c r="C24" s="1712" t="s">
        <v>1143</v>
      </c>
      <c r="D24" s="1752" t="s">
        <v>1104</v>
      </c>
      <c r="E24" s="1812">
        <v>12</v>
      </c>
      <c r="F24" s="1809">
        <v>300000</v>
      </c>
      <c r="G24" s="1734">
        <f>E24*F24</f>
        <v>3600000</v>
      </c>
      <c r="H24" s="1810"/>
    </row>
    <row r="25" spans="1:13" s="1811" customFormat="1">
      <c r="A25" s="1733"/>
      <c r="B25" s="1732"/>
      <c r="C25" s="1712" t="s">
        <v>1036</v>
      </c>
      <c r="D25" s="1752" t="s">
        <v>1101</v>
      </c>
      <c r="E25" s="1808">
        <v>3</v>
      </c>
      <c r="F25" s="1809">
        <v>3000000</v>
      </c>
      <c r="G25" s="1734">
        <f>E25*F25</f>
        <v>9000000</v>
      </c>
      <c r="H25" s="1810"/>
      <c r="K25" s="1866"/>
      <c r="L25" s="1866"/>
      <c r="M25" s="1866"/>
    </row>
    <row r="26" spans="1:13" s="1811" customFormat="1" ht="49.5">
      <c r="A26" s="1771"/>
      <c r="B26" s="1772" t="s">
        <v>1054</v>
      </c>
      <c r="C26" s="1773" t="s">
        <v>1110</v>
      </c>
      <c r="D26" s="1862"/>
      <c r="E26" s="1774"/>
      <c r="F26" s="1774"/>
      <c r="G26" s="1734">
        <f>SUM(G27:G30)</f>
        <v>302000000</v>
      </c>
      <c r="H26" s="1810"/>
      <c r="K26" s="1867"/>
      <c r="L26" s="1868"/>
      <c r="M26" s="1866"/>
    </row>
    <row r="27" spans="1:13" s="1811" customFormat="1" ht="24" customHeight="1">
      <c r="A27" s="1771"/>
      <c r="B27" s="1775"/>
      <c r="C27" s="1776" t="s">
        <v>1042</v>
      </c>
      <c r="D27" s="1863" t="s">
        <v>1099</v>
      </c>
      <c r="E27" s="1808">
        <v>450</v>
      </c>
      <c r="F27" s="1809"/>
      <c r="G27" s="1734">
        <v>45000000</v>
      </c>
      <c r="H27" s="1810"/>
      <c r="K27" s="1867"/>
      <c r="L27" s="1868"/>
      <c r="M27" s="1866"/>
    </row>
    <row r="28" spans="1:13" s="1811" customFormat="1">
      <c r="A28" s="1771"/>
      <c r="B28" s="1775"/>
      <c r="C28" s="1776" t="s">
        <v>1043</v>
      </c>
      <c r="D28" s="1863" t="s">
        <v>1099</v>
      </c>
      <c r="E28" s="1808">
        <v>150</v>
      </c>
      <c r="F28" s="1809"/>
      <c r="G28" s="1734">
        <v>220000000</v>
      </c>
      <c r="H28" s="1810"/>
      <c r="K28" s="1869"/>
      <c r="L28" s="1870"/>
      <c r="M28" s="1866"/>
    </row>
    <row r="29" spans="1:13" s="1811" customFormat="1">
      <c r="A29" s="1771"/>
      <c r="B29" s="1775"/>
      <c r="C29" s="1776" t="s">
        <v>1044</v>
      </c>
      <c r="D29" s="1864" t="s">
        <v>1107</v>
      </c>
      <c r="E29" s="1723">
        <v>3</v>
      </c>
      <c r="F29" s="1724"/>
      <c r="G29" s="1734">
        <v>12000000</v>
      </c>
      <c r="H29" s="1810"/>
      <c r="K29" s="1869"/>
      <c r="L29" s="1868"/>
      <c r="M29" s="1866"/>
    </row>
    <row r="30" spans="1:13" s="1811" customFormat="1">
      <c r="A30" s="1771"/>
      <c r="B30" s="1775"/>
      <c r="C30" s="1776" t="s">
        <v>1036</v>
      </c>
      <c r="D30" s="1864" t="s">
        <v>1108</v>
      </c>
      <c r="E30" s="1808">
        <v>3</v>
      </c>
      <c r="F30" s="1809"/>
      <c r="G30" s="1734">
        <v>25000000</v>
      </c>
      <c r="H30" s="1810"/>
      <c r="K30" s="1866"/>
      <c r="L30" s="1866"/>
      <c r="M30" s="1866"/>
    </row>
    <row r="31" spans="1:13" ht="33" customHeight="1">
      <c r="A31" s="1733"/>
      <c r="B31" s="1750" t="s">
        <v>1054</v>
      </c>
      <c r="C31" s="1736" t="s">
        <v>1056</v>
      </c>
      <c r="D31" s="1813"/>
      <c r="E31" s="1734"/>
      <c r="F31" s="1734"/>
      <c r="G31" s="1734">
        <f>SUM(G32)</f>
        <v>15000000</v>
      </c>
      <c r="H31" s="1801"/>
      <c r="K31" s="1866"/>
      <c r="L31" s="1866"/>
      <c r="M31" s="1866"/>
    </row>
    <row r="32" spans="1:13" ht="24" customHeight="1">
      <c r="A32" s="1747"/>
      <c r="B32" s="1745"/>
      <c r="C32" s="1717" t="s">
        <v>1036</v>
      </c>
      <c r="D32" s="1814" t="s">
        <v>1102</v>
      </c>
      <c r="E32" s="1815">
        <v>5</v>
      </c>
      <c r="F32" s="1815">
        <v>3000000</v>
      </c>
      <c r="G32" s="1816">
        <f>E32*F32</f>
        <v>15000000</v>
      </c>
      <c r="H32" s="1801"/>
    </row>
    <row r="33" spans="1:8">
      <c r="A33" s="1733"/>
      <c r="B33" s="1751" t="s">
        <v>1128</v>
      </c>
      <c r="C33" s="1736" t="s">
        <v>1052</v>
      </c>
      <c r="D33" s="1813"/>
      <c r="E33" s="1734"/>
      <c r="F33" s="1734"/>
      <c r="G33" s="1734">
        <f>SUM(G34+G35+G36)</f>
        <v>50700000</v>
      </c>
      <c r="H33" s="1801"/>
    </row>
    <row r="34" spans="1:8" s="1805" customFormat="1" ht="21" customHeight="1">
      <c r="A34" s="1733"/>
      <c r="B34" s="1729"/>
      <c r="C34" s="1712" t="s">
        <v>1137</v>
      </c>
      <c r="D34" s="1752" t="s">
        <v>1103</v>
      </c>
      <c r="E34" s="1734">
        <v>15</v>
      </c>
      <c r="F34" s="1734">
        <v>380000</v>
      </c>
      <c r="G34" s="1816">
        <f>E34*F34</f>
        <v>5700000</v>
      </c>
      <c r="H34" s="1804"/>
    </row>
    <row r="35" spans="1:8" s="1805" customFormat="1" ht="21" customHeight="1">
      <c r="A35" s="1733"/>
      <c r="B35" s="1729"/>
      <c r="C35" s="1712" t="s">
        <v>1092</v>
      </c>
      <c r="D35" s="1752" t="s">
        <v>1103</v>
      </c>
      <c r="E35" s="1734">
        <v>3</v>
      </c>
      <c r="F35" s="1734">
        <v>5000000</v>
      </c>
      <c r="G35" s="1816">
        <f>E35*F35</f>
        <v>15000000</v>
      </c>
      <c r="H35" s="1804"/>
    </row>
    <row r="36" spans="1:8" s="1805" customFormat="1" ht="24.75" customHeight="1">
      <c r="A36" s="1733"/>
      <c r="B36" s="1729"/>
      <c r="C36" s="1712" t="s">
        <v>1034</v>
      </c>
      <c r="D36" s="1752" t="s">
        <v>1103</v>
      </c>
      <c r="E36" s="1734"/>
      <c r="F36" s="1734"/>
      <c r="G36" s="1816">
        <v>30000000</v>
      </c>
      <c r="H36" s="1804"/>
    </row>
    <row r="37" spans="1:8" ht="49.5">
      <c r="A37" s="1733"/>
      <c r="B37" s="1729" t="s">
        <v>1129</v>
      </c>
      <c r="C37" s="1783" t="s">
        <v>1138</v>
      </c>
      <c r="D37" s="1817"/>
      <c r="E37" s="1818"/>
      <c r="F37" s="1818"/>
      <c r="G37" s="1816">
        <v>50000000</v>
      </c>
      <c r="H37" s="1801"/>
    </row>
    <row r="38" spans="1:8" ht="32.25" customHeight="1">
      <c r="A38" s="1828"/>
      <c r="B38" s="1829">
        <v>5</v>
      </c>
      <c r="C38" s="1839" t="s">
        <v>1126</v>
      </c>
      <c r="D38" s="1840" t="s">
        <v>1102</v>
      </c>
      <c r="E38" s="1841">
        <v>2</v>
      </c>
      <c r="F38" s="1841">
        <v>70000000</v>
      </c>
      <c r="G38" s="1842">
        <f>E38*F38</f>
        <v>140000000</v>
      </c>
      <c r="H38" s="1832"/>
    </row>
    <row r="39" spans="1:8">
      <c r="A39" s="1828"/>
      <c r="B39" s="1829">
        <v>6</v>
      </c>
      <c r="C39" s="1835" t="s">
        <v>555</v>
      </c>
      <c r="D39" s="1850"/>
      <c r="E39" s="1834"/>
      <c r="F39" s="1834"/>
      <c r="G39" s="1834">
        <v>80000000</v>
      </c>
      <c r="H39" s="1832"/>
    </row>
    <row r="40" spans="1:8" ht="33">
      <c r="A40" s="1828"/>
      <c r="B40" s="1829">
        <v>7</v>
      </c>
      <c r="C40" s="1835" t="s">
        <v>1144</v>
      </c>
      <c r="D40" s="1850"/>
      <c r="E40" s="1834"/>
      <c r="F40" s="1834"/>
      <c r="G40" s="1834">
        <v>13740000</v>
      </c>
      <c r="H40" s="1832"/>
    </row>
    <row r="41" spans="1:8" ht="33">
      <c r="A41" s="1784" t="s">
        <v>1117</v>
      </c>
      <c r="B41" s="1785"/>
      <c r="C41" s="1786" t="s">
        <v>1116</v>
      </c>
      <c r="D41" s="1856"/>
      <c r="E41" s="1787"/>
      <c r="F41" s="1787"/>
      <c r="G41" s="1787">
        <f>SUM(G42+G49+G55+G56)</f>
        <v>587860000</v>
      </c>
      <c r="H41" s="1803"/>
    </row>
    <row r="42" spans="1:8" s="1805" customFormat="1">
      <c r="A42" s="1828"/>
      <c r="B42" s="1843">
        <v>1</v>
      </c>
      <c r="C42" s="1844" t="s">
        <v>1130</v>
      </c>
      <c r="D42" s="1845"/>
      <c r="E42" s="1841"/>
      <c r="F42" s="1841"/>
      <c r="G42" s="1841">
        <f>SUM(G43+G48)</f>
        <v>67900000</v>
      </c>
      <c r="H42" s="1832"/>
    </row>
    <row r="43" spans="1:8" s="1805" customFormat="1" ht="41.25" customHeight="1">
      <c r="A43" s="1733"/>
      <c r="B43" s="1733" t="s">
        <v>147</v>
      </c>
      <c r="C43" s="1712" t="s">
        <v>1132</v>
      </c>
      <c r="D43" s="1820"/>
      <c r="E43" s="1819"/>
      <c r="F43" s="1819"/>
      <c r="G43" s="1819">
        <f>SUM(G44+G45+G46+G47)</f>
        <v>7900000</v>
      </c>
      <c r="H43" s="1804"/>
    </row>
    <row r="44" spans="1:8" s="1805" customFormat="1" ht="21" customHeight="1">
      <c r="A44" s="1733"/>
      <c r="B44" s="1733"/>
      <c r="C44" s="1712" t="s">
        <v>1093</v>
      </c>
      <c r="D44" s="1752" t="s">
        <v>1105</v>
      </c>
      <c r="E44" s="1819">
        <v>60</v>
      </c>
      <c r="F44" s="1819">
        <v>25000</v>
      </c>
      <c r="G44" s="1819">
        <f>E44*F44</f>
        <v>1500000</v>
      </c>
      <c r="H44" s="1804"/>
    </row>
    <row r="45" spans="1:8" s="1805" customFormat="1" ht="21" customHeight="1">
      <c r="A45" s="1733"/>
      <c r="B45" s="1733"/>
      <c r="C45" s="1712" t="s">
        <v>1094</v>
      </c>
      <c r="D45" s="1752" t="s">
        <v>1105</v>
      </c>
      <c r="E45" s="1819">
        <v>60</v>
      </c>
      <c r="F45" s="1819">
        <v>20000</v>
      </c>
      <c r="G45" s="1819">
        <f t="shared" ref="G45:G48" si="1">E45*F45</f>
        <v>1200000</v>
      </c>
      <c r="H45" s="1804"/>
    </row>
    <row r="46" spans="1:8" s="1805" customFormat="1" ht="21" customHeight="1">
      <c r="A46" s="1733"/>
      <c r="B46" s="1733"/>
      <c r="C46" s="1712" t="s">
        <v>1095</v>
      </c>
      <c r="D46" s="1752" t="s">
        <v>1105</v>
      </c>
      <c r="E46" s="1819">
        <v>60</v>
      </c>
      <c r="F46" s="1819">
        <v>20000</v>
      </c>
      <c r="G46" s="1819">
        <f t="shared" si="1"/>
        <v>1200000</v>
      </c>
      <c r="H46" s="1804"/>
    </row>
    <row r="47" spans="1:8" s="1805" customFormat="1" ht="21" customHeight="1">
      <c r="A47" s="1733"/>
      <c r="B47" s="1733"/>
      <c r="C47" s="1712" t="s">
        <v>1096</v>
      </c>
      <c r="D47" s="1752" t="s">
        <v>1101</v>
      </c>
      <c r="E47" s="1819">
        <v>1</v>
      </c>
      <c r="F47" s="1819">
        <v>4000000</v>
      </c>
      <c r="G47" s="1819">
        <f t="shared" si="1"/>
        <v>4000000</v>
      </c>
      <c r="H47" s="1804"/>
    </row>
    <row r="48" spans="1:8" s="1822" customFormat="1" ht="36" customHeight="1">
      <c r="A48" s="1769"/>
      <c r="B48" s="1729" t="s">
        <v>150</v>
      </c>
      <c r="C48" s="1712" t="s">
        <v>1139</v>
      </c>
      <c r="D48" s="1752" t="s">
        <v>1131</v>
      </c>
      <c r="E48" s="1819">
        <v>12</v>
      </c>
      <c r="F48" s="1819">
        <v>5000000</v>
      </c>
      <c r="G48" s="1819">
        <f t="shared" si="1"/>
        <v>60000000</v>
      </c>
      <c r="H48" s="1821"/>
    </row>
    <row r="49" spans="1:8" s="1805" customFormat="1" ht="35.25" customHeight="1">
      <c r="A49" s="1828"/>
      <c r="B49" s="1843">
        <v>2</v>
      </c>
      <c r="C49" s="1844" t="s">
        <v>1058</v>
      </c>
      <c r="D49" s="1845"/>
      <c r="E49" s="1841"/>
      <c r="F49" s="1841"/>
      <c r="G49" s="1841">
        <f>SUM(G50+G51)</f>
        <v>374960000</v>
      </c>
      <c r="H49" s="1832"/>
    </row>
    <row r="50" spans="1:8" s="1805" customFormat="1" ht="33">
      <c r="A50" s="1733"/>
      <c r="B50" s="1733" t="s">
        <v>299</v>
      </c>
      <c r="C50" s="1741" t="s">
        <v>1059</v>
      </c>
      <c r="D50" s="1823" t="s">
        <v>1114</v>
      </c>
      <c r="E50" s="1824">
        <v>2</v>
      </c>
      <c r="F50" s="1819">
        <v>35000000</v>
      </c>
      <c r="G50" s="1819">
        <v>70000000</v>
      </c>
      <c r="H50" s="1804"/>
    </row>
    <row r="51" spans="1:8" s="1805" customFormat="1" ht="33">
      <c r="A51" s="1733"/>
      <c r="B51" s="1733" t="s">
        <v>166</v>
      </c>
      <c r="C51" s="1712" t="s">
        <v>1037</v>
      </c>
      <c r="D51" s="1752"/>
      <c r="E51" s="1819"/>
      <c r="F51" s="1819"/>
      <c r="G51" s="1819">
        <f>SUM(G52+G53+G54)</f>
        <v>304960000</v>
      </c>
      <c r="H51" s="1804"/>
    </row>
    <row r="52" spans="1:8" s="1805" customFormat="1" ht="49.5">
      <c r="A52" s="1733"/>
      <c r="B52" s="1733"/>
      <c r="C52" s="1712" t="s">
        <v>1133</v>
      </c>
      <c r="D52" s="1752" t="s">
        <v>1106</v>
      </c>
      <c r="E52" s="1819">
        <v>674</v>
      </c>
      <c r="F52" s="1819">
        <v>280000</v>
      </c>
      <c r="G52" s="1819">
        <f>E52*F52</f>
        <v>188720000</v>
      </c>
      <c r="H52" s="1804"/>
    </row>
    <row r="53" spans="1:8" s="1805" customFormat="1">
      <c r="A53" s="1733"/>
      <c r="B53" s="1733"/>
      <c r="C53" s="1712" t="s">
        <v>1038</v>
      </c>
      <c r="D53" s="1752" t="s">
        <v>1106</v>
      </c>
      <c r="E53" s="1819">
        <v>531</v>
      </c>
      <c r="F53" s="1819">
        <v>40000</v>
      </c>
      <c r="G53" s="1819">
        <f>E53*F53</f>
        <v>21240000</v>
      </c>
      <c r="H53" s="1804"/>
    </row>
    <row r="54" spans="1:8" s="1805" customFormat="1" ht="33">
      <c r="A54" s="1733"/>
      <c r="B54" s="1733"/>
      <c r="C54" s="1712" t="s">
        <v>1140</v>
      </c>
      <c r="D54" s="1752" t="s">
        <v>1106</v>
      </c>
      <c r="E54" s="1819">
        <v>10</v>
      </c>
      <c r="F54" s="1819">
        <v>9500000</v>
      </c>
      <c r="G54" s="1819">
        <f>E54*F54</f>
        <v>95000000</v>
      </c>
      <c r="H54" s="1804"/>
    </row>
    <row r="55" spans="1:8" ht="115.5">
      <c r="A55" s="1846"/>
      <c r="B55" s="1847">
        <v>3</v>
      </c>
      <c r="C55" s="1844" t="s">
        <v>1141</v>
      </c>
      <c r="D55" s="1845"/>
      <c r="E55" s="1848"/>
      <c r="F55" s="1849"/>
      <c r="G55" s="1871">
        <v>100000000</v>
      </c>
      <c r="H55" s="1832"/>
    </row>
    <row r="56" spans="1:8" ht="33">
      <c r="A56" s="1846"/>
      <c r="B56" s="1847">
        <v>4</v>
      </c>
      <c r="C56" s="1844" t="s">
        <v>1142</v>
      </c>
      <c r="D56" s="1845"/>
      <c r="E56" s="1848"/>
      <c r="F56" s="1849"/>
      <c r="G56" s="1871">
        <v>45000000</v>
      </c>
      <c r="H56" s="1832"/>
    </row>
    <row r="57" spans="1:8" ht="33">
      <c r="A57" s="1784" t="s">
        <v>1118</v>
      </c>
      <c r="B57" s="1785"/>
      <c r="C57" s="1786" t="s">
        <v>1060</v>
      </c>
      <c r="D57" s="1856"/>
      <c r="E57" s="1787"/>
      <c r="F57" s="1787"/>
      <c r="G57" s="1787">
        <f>G58+G63+G70+G78+G74</f>
        <v>492000000</v>
      </c>
      <c r="H57" s="1803"/>
    </row>
    <row r="58" spans="1:8" ht="33">
      <c r="A58" s="1828"/>
      <c r="B58" s="1850">
        <v>1</v>
      </c>
      <c r="C58" s="1830" t="s">
        <v>544</v>
      </c>
      <c r="D58" s="1857"/>
      <c r="E58" s="1834"/>
      <c r="F58" s="1834"/>
      <c r="G58" s="1834">
        <f>SUM(G59:G62)</f>
        <v>114400000</v>
      </c>
      <c r="H58" s="1851"/>
    </row>
    <row r="59" spans="1:8">
      <c r="A59" s="1733"/>
      <c r="B59" s="1732"/>
      <c r="C59" s="1718" t="s">
        <v>1039</v>
      </c>
      <c r="D59" s="1865" t="s">
        <v>1111</v>
      </c>
      <c r="E59" s="1782">
        <v>40</v>
      </c>
      <c r="F59" s="1779">
        <v>150000</v>
      </c>
      <c r="G59" s="1724">
        <f>F59*E59</f>
        <v>6000000</v>
      </c>
      <c r="H59" s="1724"/>
    </row>
    <row r="60" spans="1:8">
      <c r="A60" s="1733"/>
      <c r="B60" s="1732"/>
      <c r="C60" s="1718" t="s">
        <v>1039</v>
      </c>
      <c r="D60" s="1865" t="s">
        <v>1111</v>
      </c>
      <c r="E60" s="1782">
        <v>80</v>
      </c>
      <c r="F60" s="1779">
        <v>180000</v>
      </c>
      <c r="G60" s="1724">
        <f t="shared" ref="G60:G67" si="2">F60*E60</f>
        <v>14400000</v>
      </c>
      <c r="H60" s="1724"/>
    </row>
    <row r="61" spans="1:8" s="1811" customFormat="1" ht="21.75" customHeight="1">
      <c r="A61" s="1733"/>
      <c r="B61" s="1732"/>
      <c r="C61" s="1718" t="s">
        <v>1112</v>
      </c>
      <c r="D61" s="1865" t="s">
        <v>1111</v>
      </c>
      <c r="E61" s="1782">
        <v>70</v>
      </c>
      <c r="F61" s="1779">
        <v>200000</v>
      </c>
      <c r="G61" s="1724">
        <f t="shared" si="2"/>
        <v>14000000</v>
      </c>
      <c r="H61" s="1724"/>
    </row>
    <row r="62" spans="1:8" s="1811" customFormat="1" ht="21.75" customHeight="1">
      <c r="A62" s="1733"/>
      <c r="B62" s="1732"/>
      <c r="C62" s="1718" t="s">
        <v>1113</v>
      </c>
      <c r="D62" s="1865" t="s">
        <v>1114</v>
      </c>
      <c r="E62" s="1777">
        <v>4</v>
      </c>
      <c r="F62" s="1778">
        <v>20000000</v>
      </c>
      <c r="G62" s="1724">
        <f t="shared" si="2"/>
        <v>80000000</v>
      </c>
      <c r="H62" s="1724"/>
    </row>
    <row r="63" spans="1:8" ht="49.5">
      <c r="A63" s="1828"/>
      <c r="B63" s="1850">
        <v>2</v>
      </c>
      <c r="C63" s="1830" t="s">
        <v>545</v>
      </c>
      <c r="D63" s="1857"/>
      <c r="E63" s="1834"/>
      <c r="F63" s="1834"/>
      <c r="G63" s="1852">
        <f>SUM(G64:G69)</f>
        <v>224480000</v>
      </c>
      <c r="H63" s="1832"/>
    </row>
    <row r="64" spans="1:8">
      <c r="A64" s="1733"/>
      <c r="B64" s="1732"/>
      <c r="C64" s="1718" t="s">
        <v>1039</v>
      </c>
      <c r="D64" s="1865" t="s">
        <v>1111</v>
      </c>
      <c r="E64" s="1782">
        <v>58</v>
      </c>
      <c r="F64" s="1779">
        <v>150000</v>
      </c>
      <c r="G64" s="1724">
        <f t="shared" si="2"/>
        <v>8700000</v>
      </c>
      <c r="H64" s="1724"/>
    </row>
    <row r="65" spans="1:8">
      <c r="A65" s="1733"/>
      <c r="B65" s="1732"/>
      <c r="C65" s="1718" t="s">
        <v>1039</v>
      </c>
      <c r="D65" s="1865" t="s">
        <v>1111</v>
      </c>
      <c r="E65" s="1782">
        <v>210</v>
      </c>
      <c r="F65" s="1779">
        <v>180000</v>
      </c>
      <c r="G65" s="1724">
        <f t="shared" si="2"/>
        <v>37800000</v>
      </c>
      <c r="H65" s="1724"/>
    </row>
    <row r="66" spans="1:8" s="1811" customFormat="1" ht="21" customHeight="1">
      <c r="A66" s="1733"/>
      <c r="B66" s="1732"/>
      <c r="C66" s="1718" t="s">
        <v>1119</v>
      </c>
      <c r="D66" s="1865" t="s">
        <v>1111</v>
      </c>
      <c r="E66" s="1782">
        <v>174</v>
      </c>
      <c r="F66" s="1779">
        <v>200000</v>
      </c>
      <c r="G66" s="1724">
        <f t="shared" si="2"/>
        <v>34800000</v>
      </c>
      <c r="H66" s="1724"/>
    </row>
    <row r="67" spans="1:8" s="1811" customFormat="1" ht="21.75" customHeight="1">
      <c r="A67" s="1733"/>
      <c r="B67" s="1732"/>
      <c r="C67" s="1718" t="s">
        <v>1113</v>
      </c>
      <c r="D67" s="1865" t="s">
        <v>1114</v>
      </c>
      <c r="E67" s="1777">
        <v>6</v>
      </c>
      <c r="F67" s="1778">
        <v>20000000</v>
      </c>
      <c r="G67" s="1724">
        <f t="shared" si="2"/>
        <v>120000000</v>
      </c>
      <c r="H67" s="1724"/>
    </row>
    <row r="68" spans="1:8" s="1811" customFormat="1" ht="21" customHeight="1">
      <c r="A68" s="1733"/>
      <c r="B68" s="1732"/>
      <c r="C68" s="1718" t="s">
        <v>1041</v>
      </c>
      <c r="D68" s="1865"/>
      <c r="E68" s="1723"/>
      <c r="F68" s="1725"/>
      <c r="G68" s="1779">
        <v>10000000</v>
      </c>
      <c r="H68" s="1810"/>
    </row>
    <row r="69" spans="1:8" s="1811" customFormat="1" ht="51.75" customHeight="1">
      <c r="A69" s="1733"/>
      <c r="B69" s="1732"/>
      <c r="C69" s="1718" t="s">
        <v>1150</v>
      </c>
      <c r="D69" s="1865"/>
      <c r="E69" s="1780"/>
      <c r="F69" s="1726"/>
      <c r="G69" s="1724">
        <v>13180000</v>
      </c>
      <c r="H69" s="1810"/>
    </row>
    <row r="70" spans="1:8" ht="33">
      <c r="A70" s="1828"/>
      <c r="B70" s="1850">
        <v>3</v>
      </c>
      <c r="C70" s="1830" t="s">
        <v>1115</v>
      </c>
      <c r="D70" s="1857"/>
      <c r="E70" s="1834"/>
      <c r="F70" s="1834"/>
      <c r="G70" s="1834">
        <f>SUM(G71:G73)</f>
        <v>30560000</v>
      </c>
      <c r="H70" s="1832"/>
    </row>
    <row r="71" spans="1:8">
      <c r="A71" s="1733"/>
      <c r="B71" s="1732"/>
      <c r="C71" s="1718" t="s">
        <v>1039</v>
      </c>
      <c r="D71" s="1865" t="s">
        <v>1111</v>
      </c>
      <c r="E71" s="1782">
        <v>32</v>
      </c>
      <c r="F71" s="1779">
        <v>180000</v>
      </c>
      <c r="G71" s="1724">
        <f t="shared" ref="G71:G77" si="3">F71*E71</f>
        <v>5760000</v>
      </c>
      <c r="H71" s="1801"/>
    </row>
    <row r="72" spans="1:8" s="1811" customFormat="1" ht="23.25" customHeight="1">
      <c r="A72" s="1733"/>
      <c r="B72" s="1732"/>
      <c r="C72" s="1718" t="s">
        <v>1119</v>
      </c>
      <c r="D72" s="1865" t="s">
        <v>1111</v>
      </c>
      <c r="E72" s="1782">
        <v>24</v>
      </c>
      <c r="F72" s="1779">
        <v>200000</v>
      </c>
      <c r="G72" s="1724">
        <f t="shared" si="3"/>
        <v>4800000</v>
      </c>
      <c r="H72" s="1810"/>
    </row>
    <row r="73" spans="1:8" s="1811" customFormat="1" ht="21.75" customHeight="1">
      <c r="A73" s="1733"/>
      <c r="B73" s="1732"/>
      <c r="C73" s="1718" t="s">
        <v>1036</v>
      </c>
      <c r="D73" s="1865" t="s">
        <v>1114</v>
      </c>
      <c r="E73" s="1782">
        <v>5</v>
      </c>
      <c r="F73" s="1779">
        <v>4000000</v>
      </c>
      <c r="G73" s="1724">
        <f t="shared" si="3"/>
        <v>20000000</v>
      </c>
      <c r="H73" s="1810"/>
    </row>
    <row r="74" spans="1:8" s="1811" customFormat="1" ht="33">
      <c r="A74" s="1828"/>
      <c r="B74" s="1850">
        <v>4</v>
      </c>
      <c r="C74" s="1830" t="s">
        <v>1134</v>
      </c>
      <c r="D74" s="1857"/>
      <c r="E74" s="1834"/>
      <c r="F74" s="1834"/>
      <c r="G74" s="1834">
        <f>SUM(G75:G77)</f>
        <v>92000000</v>
      </c>
      <c r="H74" s="1832"/>
    </row>
    <row r="75" spans="1:8" s="1811" customFormat="1" ht="21.75" customHeight="1">
      <c r="A75" s="1733"/>
      <c r="B75" s="1732"/>
      <c r="C75" s="1718" t="s">
        <v>1039</v>
      </c>
      <c r="D75" s="1865" t="s">
        <v>1111</v>
      </c>
      <c r="E75" s="1782">
        <v>100</v>
      </c>
      <c r="F75" s="1779">
        <v>180000</v>
      </c>
      <c r="G75" s="1724">
        <f t="shared" si="3"/>
        <v>18000000</v>
      </c>
      <c r="H75" s="1810"/>
    </row>
    <row r="76" spans="1:8" s="1811" customFormat="1" ht="21.75" customHeight="1">
      <c r="A76" s="1733"/>
      <c r="B76" s="1732"/>
      <c r="C76" s="1718" t="s">
        <v>1119</v>
      </c>
      <c r="D76" s="1865" t="s">
        <v>1111</v>
      </c>
      <c r="E76" s="1782">
        <v>70</v>
      </c>
      <c r="F76" s="1779">
        <v>200000</v>
      </c>
      <c r="G76" s="1724">
        <f t="shared" si="3"/>
        <v>14000000</v>
      </c>
      <c r="H76" s="1810"/>
    </row>
    <row r="77" spans="1:8" s="1811" customFormat="1" ht="21.75" customHeight="1">
      <c r="A77" s="1733"/>
      <c r="B77" s="1732"/>
      <c r="C77" s="1718" t="s">
        <v>1036</v>
      </c>
      <c r="D77" s="1865" t="s">
        <v>1114</v>
      </c>
      <c r="E77" s="1782">
        <v>15</v>
      </c>
      <c r="F77" s="1779">
        <v>4000000</v>
      </c>
      <c r="G77" s="1724">
        <f t="shared" si="3"/>
        <v>60000000</v>
      </c>
      <c r="H77" s="1810"/>
    </row>
    <row r="78" spans="1:8" ht="33">
      <c r="A78" s="1846"/>
      <c r="B78" s="1853">
        <v>5</v>
      </c>
      <c r="C78" s="1830" t="s">
        <v>1060</v>
      </c>
      <c r="D78" s="1857"/>
      <c r="E78" s="1848"/>
      <c r="F78" s="1848"/>
      <c r="G78" s="1848">
        <f>SUM(G79:G81)</f>
        <v>30560000</v>
      </c>
      <c r="H78" s="1832"/>
    </row>
    <row r="79" spans="1:8">
      <c r="A79" s="1825"/>
      <c r="B79" s="1754"/>
      <c r="C79" s="1718" t="s">
        <v>1039</v>
      </c>
      <c r="D79" s="1865" t="s">
        <v>1111</v>
      </c>
      <c r="E79" s="1782">
        <v>32</v>
      </c>
      <c r="F79" s="1779">
        <v>180000</v>
      </c>
      <c r="G79" s="1724">
        <f t="shared" ref="G79:G81" si="4">F79*E79</f>
        <v>5760000</v>
      </c>
      <c r="H79" s="1801"/>
    </row>
    <row r="80" spans="1:8">
      <c r="A80" s="1825"/>
      <c r="B80" s="1754"/>
      <c r="C80" s="1718" t="s">
        <v>1119</v>
      </c>
      <c r="D80" s="1865" t="s">
        <v>1111</v>
      </c>
      <c r="E80" s="1782">
        <v>24</v>
      </c>
      <c r="F80" s="1779">
        <v>200000</v>
      </c>
      <c r="G80" s="1724">
        <f t="shared" si="4"/>
        <v>4800000</v>
      </c>
      <c r="H80" s="1801"/>
    </row>
    <row r="81" spans="1:10">
      <c r="A81" s="1825"/>
      <c r="B81" s="1754"/>
      <c r="C81" s="1718" t="s">
        <v>1036</v>
      </c>
      <c r="D81" s="1865" t="s">
        <v>1114</v>
      </c>
      <c r="E81" s="1782">
        <v>1</v>
      </c>
      <c r="F81" s="1779">
        <v>20000000</v>
      </c>
      <c r="G81" s="1724">
        <f t="shared" si="4"/>
        <v>20000000</v>
      </c>
      <c r="H81" s="1801"/>
      <c r="J81" s="1826"/>
    </row>
    <row r="82" spans="1:10" ht="9.75" customHeight="1">
      <c r="A82" s="1876"/>
      <c r="B82" s="1877"/>
      <c r="C82" s="1878"/>
      <c r="D82" s="1879"/>
      <c r="E82" s="1880"/>
      <c r="F82" s="1881"/>
      <c r="G82" s="1882"/>
      <c r="H82" s="1883"/>
      <c r="J82" s="1826"/>
    </row>
  </sheetData>
  <mergeCells count="2">
    <mergeCell ref="F3:H3"/>
    <mergeCell ref="A2:H2"/>
  </mergeCells>
  <printOptions horizontalCentered="1"/>
  <pageMargins left="0.19685039370078741" right="0.11811023622047245" top="0.39370078740157483" bottom="0.39370078740157483" header="0.11811023622047245" footer="0.11811023622047245"/>
  <pageSetup paperSize="9" scale="80" orientation="portrait" r:id="rId1"/>
  <headerFooter>
    <oddFooter>Page &amp;P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6"/>
  <sheetViews>
    <sheetView topLeftCell="A46" workbookViewId="0">
      <selection activeCell="G1" sqref="G1:H1"/>
    </sheetView>
  </sheetViews>
  <sheetFormatPr defaultRowHeight="15"/>
  <cols>
    <col min="1" max="1" width="6.5703125" style="1766" customWidth="1"/>
    <col min="2" max="2" width="11.42578125" style="1766" customWidth="1"/>
    <col min="3" max="3" width="46.42578125" style="1766" customWidth="1"/>
    <col min="4" max="4" width="9.42578125" style="1766" bestFit="1" customWidth="1"/>
    <col min="5" max="5" width="8" style="1766" bestFit="1" customWidth="1"/>
    <col min="6" max="6" width="10.140625" style="1766" bestFit="1" customWidth="1"/>
    <col min="7" max="7" width="16.5703125" style="1766" bestFit="1" customWidth="1"/>
    <col min="8" max="8" width="16.42578125" style="1766" customWidth="1"/>
  </cols>
  <sheetData>
    <row r="1" spans="1:63">
      <c r="A1" s="1755"/>
      <c r="B1" s="1755"/>
      <c r="C1" s="1756"/>
      <c r="D1" s="1756"/>
      <c r="E1" s="1757"/>
      <c r="F1" s="1757"/>
      <c r="G1" s="2025" t="s">
        <v>1062</v>
      </c>
      <c r="H1" s="2025"/>
    </row>
    <row r="2" spans="1:63" ht="52.5" customHeight="1">
      <c r="A2" s="2026" t="s">
        <v>1071</v>
      </c>
      <c r="B2" s="2026"/>
      <c r="C2" s="2026"/>
      <c r="D2" s="2026"/>
      <c r="E2" s="2026"/>
      <c r="F2" s="2026"/>
      <c r="G2" s="2026"/>
      <c r="H2" s="2026"/>
    </row>
    <row r="3" spans="1:63" ht="20.25">
      <c r="A3" s="1758"/>
      <c r="B3" s="1758"/>
      <c r="C3" s="1759"/>
      <c r="D3" s="1759"/>
      <c r="E3" s="1759"/>
      <c r="F3" s="1759"/>
      <c r="G3" s="1759"/>
      <c r="H3" s="1759"/>
    </row>
    <row r="4" spans="1:63">
      <c r="A4" s="2030" t="s">
        <v>309</v>
      </c>
      <c r="B4" s="2031"/>
      <c r="C4" s="2027" t="s">
        <v>1063</v>
      </c>
      <c r="D4" s="2029" t="s">
        <v>1072</v>
      </c>
      <c r="E4" s="2029"/>
      <c r="F4" s="2029"/>
      <c r="G4" s="2029"/>
      <c r="H4" s="2029"/>
      <c r="I4" s="2029" t="s">
        <v>1073</v>
      </c>
      <c r="J4" s="2029"/>
      <c r="K4" s="2029"/>
      <c r="L4" s="2029"/>
      <c r="M4" s="2029"/>
      <c r="N4" s="2029" t="s">
        <v>1074</v>
      </c>
      <c r="O4" s="2029"/>
      <c r="P4" s="2029"/>
      <c r="Q4" s="2029"/>
      <c r="R4" s="2029"/>
      <c r="S4" s="2029" t="s">
        <v>1075</v>
      </c>
      <c r="T4" s="2029"/>
      <c r="U4" s="2029"/>
      <c r="V4" s="2029"/>
      <c r="W4" s="2029"/>
      <c r="X4" s="2029" t="s">
        <v>1076</v>
      </c>
      <c r="Y4" s="2029"/>
      <c r="Z4" s="2029"/>
      <c r="AA4" s="2029"/>
      <c r="AB4" s="2029"/>
      <c r="AC4" s="2029" t="s">
        <v>1077</v>
      </c>
      <c r="AD4" s="2029"/>
      <c r="AE4" s="2029"/>
      <c r="AF4" s="2029"/>
      <c r="AG4" s="2029"/>
      <c r="AH4" s="2029" t="s">
        <v>1078</v>
      </c>
      <c r="AI4" s="2029"/>
      <c r="AJ4" s="2029"/>
      <c r="AK4" s="2029"/>
      <c r="AL4" s="2029"/>
      <c r="AM4" s="2029" t="s">
        <v>1079</v>
      </c>
      <c r="AN4" s="2029"/>
      <c r="AO4" s="2029"/>
      <c r="AP4" s="2029"/>
      <c r="AQ4" s="2029"/>
      <c r="AR4" s="2029" t="s">
        <v>1080</v>
      </c>
      <c r="AS4" s="2029"/>
      <c r="AT4" s="2029"/>
      <c r="AU4" s="2029"/>
      <c r="AV4" s="2029"/>
      <c r="AW4" s="2029" t="s">
        <v>1081</v>
      </c>
      <c r="AX4" s="2029"/>
      <c r="AY4" s="2029"/>
      <c r="AZ4" s="2029"/>
      <c r="BA4" s="2029"/>
      <c r="BB4" s="2029" t="s">
        <v>1082</v>
      </c>
      <c r="BC4" s="2029"/>
      <c r="BD4" s="2029"/>
      <c r="BE4" s="2029"/>
      <c r="BF4" s="2029"/>
      <c r="BG4" s="2029" t="s">
        <v>1083</v>
      </c>
      <c r="BH4" s="2029"/>
      <c r="BI4" s="2029"/>
      <c r="BJ4" s="2029"/>
      <c r="BK4" s="2029"/>
    </row>
    <row r="5" spans="1:63" ht="25.5">
      <c r="A5" s="2032"/>
      <c r="B5" s="2033"/>
      <c r="C5" s="2027"/>
      <c r="D5" s="1760" t="s">
        <v>1064</v>
      </c>
      <c r="E5" s="2028" t="s">
        <v>902</v>
      </c>
      <c r="F5" s="2028"/>
      <c r="G5" s="2028"/>
      <c r="H5" s="1760" t="s">
        <v>1065</v>
      </c>
      <c r="I5" s="1760" t="s">
        <v>1064</v>
      </c>
      <c r="J5" s="2028" t="s">
        <v>902</v>
      </c>
      <c r="K5" s="2028"/>
      <c r="L5" s="2028"/>
      <c r="M5" s="1760" t="s">
        <v>1065</v>
      </c>
      <c r="N5" s="1760" t="s">
        <v>1064</v>
      </c>
      <c r="O5" s="2028" t="s">
        <v>902</v>
      </c>
      <c r="P5" s="2028"/>
      <c r="Q5" s="2028"/>
      <c r="R5" s="1760" t="s">
        <v>1065</v>
      </c>
      <c r="S5" s="1760" t="s">
        <v>1064</v>
      </c>
      <c r="T5" s="2028" t="s">
        <v>902</v>
      </c>
      <c r="U5" s="2028"/>
      <c r="V5" s="2028"/>
      <c r="W5" s="1760" t="s">
        <v>1065</v>
      </c>
      <c r="X5" s="1760" t="s">
        <v>1064</v>
      </c>
      <c r="Y5" s="2028" t="s">
        <v>902</v>
      </c>
      <c r="Z5" s="2028"/>
      <c r="AA5" s="2028"/>
      <c r="AB5" s="1760" t="s">
        <v>1065</v>
      </c>
      <c r="AC5" s="1760" t="s">
        <v>1064</v>
      </c>
      <c r="AD5" s="2028" t="s">
        <v>902</v>
      </c>
      <c r="AE5" s="2028"/>
      <c r="AF5" s="2028"/>
      <c r="AG5" s="1760" t="s">
        <v>1065</v>
      </c>
      <c r="AH5" s="1760" t="s">
        <v>1064</v>
      </c>
      <c r="AI5" s="2028" t="s">
        <v>902</v>
      </c>
      <c r="AJ5" s="2028"/>
      <c r="AK5" s="2028"/>
      <c r="AL5" s="1760" t="s">
        <v>1065</v>
      </c>
      <c r="AM5" s="1760" t="s">
        <v>1064</v>
      </c>
      <c r="AN5" s="2028" t="s">
        <v>902</v>
      </c>
      <c r="AO5" s="2028"/>
      <c r="AP5" s="2028"/>
      <c r="AQ5" s="1760" t="s">
        <v>1065</v>
      </c>
      <c r="AR5" s="1760" t="s">
        <v>1064</v>
      </c>
      <c r="AS5" s="2028" t="s">
        <v>902</v>
      </c>
      <c r="AT5" s="2028"/>
      <c r="AU5" s="2028"/>
      <c r="AV5" s="1760" t="s">
        <v>1065</v>
      </c>
      <c r="AW5" s="1760" t="s">
        <v>1064</v>
      </c>
      <c r="AX5" s="2028" t="s">
        <v>902</v>
      </c>
      <c r="AY5" s="2028"/>
      <c r="AZ5" s="2028"/>
      <c r="BA5" s="1760" t="s">
        <v>1065</v>
      </c>
      <c r="BB5" s="1760" t="s">
        <v>1064</v>
      </c>
      <c r="BC5" s="2028" t="s">
        <v>902</v>
      </c>
      <c r="BD5" s="2028"/>
      <c r="BE5" s="2028"/>
      <c r="BF5" s="1760" t="s">
        <v>1065</v>
      </c>
      <c r="BG5" s="1760" t="s">
        <v>1064</v>
      </c>
      <c r="BH5" s="2028" t="s">
        <v>902</v>
      </c>
      <c r="BI5" s="2028"/>
      <c r="BJ5" s="2028"/>
      <c r="BK5" s="1760" t="s">
        <v>1065</v>
      </c>
    </row>
    <row r="6" spans="1:63" ht="52.5">
      <c r="A6" s="1763">
        <v>1</v>
      </c>
      <c r="B6" s="1763"/>
      <c r="C6" s="1763">
        <v>2</v>
      </c>
      <c r="D6" s="1761" t="s">
        <v>1066</v>
      </c>
      <c r="E6" s="1761" t="s">
        <v>1067</v>
      </c>
      <c r="F6" s="1761" t="s">
        <v>1068</v>
      </c>
      <c r="G6" s="1762" t="s">
        <v>1069</v>
      </c>
      <c r="H6" s="1762" t="s">
        <v>1070</v>
      </c>
      <c r="I6" s="1761" t="s">
        <v>1066</v>
      </c>
      <c r="J6" s="1761" t="s">
        <v>1067</v>
      </c>
      <c r="K6" s="1761" t="s">
        <v>1068</v>
      </c>
      <c r="L6" s="1762" t="s">
        <v>1069</v>
      </c>
      <c r="M6" s="1762" t="s">
        <v>1070</v>
      </c>
      <c r="N6" s="1761" t="s">
        <v>1066</v>
      </c>
      <c r="O6" s="1761" t="s">
        <v>1067</v>
      </c>
      <c r="P6" s="1761" t="s">
        <v>1068</v>
      </c>
      <c r="Q6" s="1762" t="s">
        <v>1069</v>
      </c>
      <c r="R6" s="1762" t="s">
        <v>1070</v>
      </c>
      <c r="S6" s="1761" t="s">
        <v>1066</v>
      </c>
      <c r="T6" s="1761" t="s">
        <v>1067</v>
      </c>
      <c r="U6" s="1761" t="s">
        <v>1068</v>
      </c>
      <c r="V6" s="1762" t="s">
        <v>1069</v>
      </c>
      <c r="W6" s="1762" t="s">
        <v>1070</v>
      </c>
      <c r="X6" s="1761" t="s">
        <v>1066</v>
      </c>
      <c r="Y6" s="1761" t="s">
        <v>1067</v>
      </c>
      <c r="Z6" s="1761" t="s">
        <v>1068</v>
      </c>
      <c r="AA6" s="1762" t="s">
        <v>1069</v>
      </c>
      <c r="AB6" s="1762" t="s">
        <v>1070</v>
      </c>
      <c r="AC6" s="1761" t="s">
        <v>1066</v>
      </c>
      <c r="AD6" s="1761" t="s">
        <v>1067</v>
      </c>
      <c r="AE6" s="1761" t="s">
        <v>1068</v>
      </c>
      <c r="AF6" s="1762" t="s">
        <v>1069</v>
      </c>
      <c r="AG6" s="1762" t="s">
        <v>1070</v>
      </c>
      <c r="AH6" s="1761" t="s">
        <v>1066</v>
      </c>
      <c r="AI6" s="1761" t="s">
        <v>1067</v>
      </c>
      <c r="AJ6" s="1761" t="s">
        <v>1068</v>
      </c>
      <c r="AK6" s="1762" t="s">
        <v>1069</v>
      </c>
      <c r="AL6" s="1762" t="s">
        <v>1070</v>
      </c>
      <c r="AM6" s="1761" t="s">
        <v>1066</v>
      </c>
      <c r="AN6" s="1761" t="s">
        <v>1067</v>
      </c>
      <c r="AO6" s="1761" t="s">
        <v>1068</v>
      </c>
      <c r="AP6" s="1762" t="s">
        <v>1069</v>
      </c>
      <c r="AQ6" s="1762" t="s">
        <v>1070</v>
      </c>
      <c r="AR6" s="1761" t="s">
        <v>1066</v>
      </c>
      <c r="AS6" s="1761" t="s">
        <v>1067</v>
      </c>
      <c r="AT6" s="1761" t="s">
        <v>1068</v>
      </c>
      <c r="AU6" s="1762" t="s">
        <v>1069</v>
      </c>
      <c r="AV6" s="1762" t="s">
        <v>1070</v>
      </c>
      <c r="AW6" s="1761" t="s">
        <v>1066</v>
      </c>
      <c r="AX6" s="1761" t="s">
        <v>1067</v>
      </c>
      <c r="AY6" s="1761" t="s">
        <v>1068</v>
      </c>
      <c r="AZ6" s="1762" t="s">
        <v>1069</v>
      </c>
      <c r="BA6" s="1762" t="s">
        <v>1070</v>
      </c>
      <c r="BB6" s="1761" t="s">
        <v>1066</v>
      </c>
      <c r="BC6" s="1761" t="s">
        <v>1067</v>
      </c>
      <c r="BD6" s="1761" t="s">
        <v>1068</v>
      </c>
      <c r="BE6" s="1762" t="s">
        <v>1069</v>
      </c>
      <c r="BF6" s="1762" t="s">
        <v>1070</v>
      </c>
      <c r="BG6" s="1761" t="s">
        <v>1066</v>
      </c>
      <c r="BH6" s="1761" t="s">
        <v>1067</v>
      </c>
      <c r="BI6" s="1761" t="s">
        <v>1068</v>
      </c>
      <c r="BJ6" s="1762" t="s">
        <v>1069</v>
      </c>
      <c r="BK6" s="1762" t="s">
        <v>1070</v>
      </c>
    </row>
    <row r="7" spans="1:63" ht="16.5">
      <c r="A7" s="1743">
        <v>28</v>
      </c>
      <c r="B7" s="1744"/>
      <c r="C7" s="1730" t="s">
        <v>238</v>
      </c>
      <c r="D7" s="1764"/>
      <c r="E7" s="1765"/>
      <c r="F7" s="1765"/>
      <c r="G7" s="1765"/>
      <c r="H7" s="1765"/>
      <c r="I7" s="1764"/>
      <c r="J7" s="1765"/>
      <c r="K7" s="1765"/>
      <c r="L7" s="1765"/>
      <c r="M7" s="1765"/>
      <c r="N7" s="1764"/>
      <c r="O7" s="1765"/>
      <c r="P7" s="1765"/>
      <c r="Q7" s="1765"/>
      <c r="R7" s="1765"/>
      <c r="S7" s="1764"/>
      <c r="T7" s="1765"/>
      <c r="U7" s="1765"/>
      <c r="V7" s="1765"/>
      <c r="W7" s="1765"/>
      <c r="X7" s="1764"/>
      <c r="Y7" s="1765"/>
      <c r="Z7" s="1765"/>
      <c r="AA7" s="1765"/>
      <c r="AB7" s="1765"/>
      <c r="AC7" s="1764"/>
      <c r="AD7" s="1765"/>
      <c r="AE7" s="1765"/>
      <c r="AF7" s="1765"/>
      <c r="AG7" s="1765"/>
      <c r="AH7" s="1764"/>
      <c r="AI7" s="1765"/>
      <c r="AJ7" s="1765"/>
      <c r="AK7" s="1765"/>
      <c r="AL7" s="1765"/>
      <c r="AM7" s="1764"/>
      <c r="AN7" s="1765"/>
      <c r="AO7" s="1765"/>
      <c r="AP7" s="1765"/>
      <c r="AQ7" s="1765"/>
      <c r="AR7" s="1764"/>
      <c r="AS7" s="1765"/>
      <c r="AT7" s="1765"/>
      <c r="AU7" s="1765"/>
      <c r="AV7" s="1765"/>
      <c r="AW7" s="1764"/>
      <c r="AX7" s="1765"/>
      <c r="AY7" s="1765"/>
      <c r="AZ7" s="1765"/>
      <c r="BA7" s="1765"/>
      <c r="BB7" s="1764"/>
      <c r="BC7" s="1765"/>
      <c r="BD7" s="1765"/>
      <c r="BE7" s="1765"/>
      <c r="BF7" s="1765"/>
      <c r="BG7" s="1764"/>
      <c r="BH7" s="1765"/>
      <c r="BI7" s="1765"/>
      <c r="BJ7" s="1765"/>
      <c r="BK7" s="1765"/>
    </row>
    <row r="8" spans="1:63" ht="39" customHeight="1">
      <c r="A8" s="1728">
        <v>29</v>
      </c>
      <c r="B8" s="1729"/>
      <c r="C8" s="1731" t="s">
        <v>1084</v>
      </c>
      <c r="D8" s="1767"/>
      <c r="E8" s="1767"/>
      <c r="F8" s="1767"/>
      <c r="G8" s="1767"/>
      <c r="H8" s="1767"/>
      <c r="I8" s="1767"/>
      <c r="J8" s="1767"/>
      <c r="K8" s="1767"/>
      <c r="L8" s="1767"/>
      <c r="M8" s="1767"/>
      <c r="N8" s="1767"/>
      <c r="O8" s="1767"/>
      <c r="P8" s="1767"/>
      <c r="Q8" s="1767"/>
      <c r="R8" s="1767"/>
      <c r="S8" s="1767"/>
      <c r="T8" s="1767"/>
      <c r="U8" s="1767"/>
      <c r="V8" s="1767"/>
      <c r="W8" s="1767"/>
      <c r="X8" s="1767"/>
      <c r="Y8" s="1767"/>
      <c r="Z8" s="1767"/>
      <c r="AA8" s="1767"/>
      <c r="AB8" s="1767"/>
      <c r="AC8" s="1767"/>
      <c r="AD8" s="1767"/>
      <c r="AE8" s="1767"/>
      <c r="AF8" s="1767"/>
      <c r="AG8" s="1767"/>
      <c r="AH8" s="1767"/>
      <c r="AI8" s="1767"/>
      <c r="AJ8" s="1767"/>
      <c r="AK8" s="1767"/>
      <c r="AL8" s="1767"/>
      <c r="AM8" s="1767"/>
      <c r="AN8" s="1767"/>
      <c r="AO8" s="1767"/>
      <c r="AP8" s="1767"/>
      <c r="AQ8" s="1767"/>
      <c r="AR8" s="1767"/>
      <c r="AS8" s="1767"/>
      <c r="AT8" s="1767"/>
      <c r="AU8" s="1767"/>
      <c r="AV8" s="1767"/>
      <c r="AW8" s="1767"/>
      <c r="AX8" s="1767"/>
      <c r="AY8" s="1767"/>
      <c r="AZ8" s="1767"/>
      <c r="BA8" s="1767"/>
      <c r="BB8" s="1767"/>
      <c r="BC8" s="1767"/>
      <c r="BD8" s="1767"/>
      <c r="BE8" s="1767"/>
      <c r="BF8" s="1767"/>
      <c r="BG8" s="1767"/>
      <c r="BH8" s="1767"/>
      <c r="BI8" s="1767"/>
      <c r="BJ8" s="1767"/>
      <c r="BK8" s="1767"/>
    </row>
    <row r="9" spans="1:63" ht="39" customHeight="1">
      <c r="A9" s="1735">
        <v>30</v>
      </c>
      <c r="B9" s="1728"/>
      <c r="C9" s="1731" t="s">
        <v>28</v>
      </c>
      <c r="D9" s="1767"/>
      <c r="E9" s="1767"/>
      <c r="F9" s="1767"/>
      <c r="G9" s="1767"/>
      <c r="H9" s="1767"/>
      <c r="I9" s="1767"/>
      <c r="J9" s="1767"/>
      <c r="K9" s="1767"/>
      <c r="L9" s="1767"/>
      <c r="M9" s="1767"/>
      <c r="N9" s="1767"/>
      <c r="O9" s="1767"/>
      <c r="P9" s="1767"/>
      <c r="Q9" s="1767"/>
      <c r="R9" s="1767"/>
      <c r="S9" s="1767"/>
      <c r="T9" s="1767"/>
      <c r="U9" s="1767"/>
      <c r="V9" s="1767"/>
      <c r="W9" s="1767"/>
      <c r="X9" s="1767"/>
      <c r="Y9" s="1767"/>
      <c r="Z9" s="1767"/>
      <c r="AA9" s="1767"/>
      <c r="AB9" s="1767"/>
      <c r="AC9" s="1767"/>
      <c r="AD9" s="1767"/>
      <c r="AE9" s="1767"/>
      <c r="AF9" s="1767"/>
      <c r="AG9" s="1767"/>
      <c r="AH9" s="1767"/>
      <c r="AI9" s="1767"/>
      <c r="AJ9" s="1767"/>
      <c r="AK9" s="1767"/>
      <c r="AL9" s="1767"/>
      <c r="AM9" s="1767"/>
      <c r="AN9" s="1767"/>
      <c r="AO9" s="1767"/>
      <c r="AP9" s="1767"/>
      <c r="AQ9" s="1767"/>
      <c r="AR9" s="1767"/>
      <c r="AS9" s="1767"/>
      <c r="AT9" s="1767"/>
      <c r="AU9" s="1767"/>
      <c r="AV9" s="1767"/>
      <c r="AW9" s="1767"/>
      <c r="AX9" s="1767"/>
      <c r="AY9" s="1767"/>
      <c r="AZ9" s="1767"/>
      <c r="BA9" s="1767"/>
      <c r="BB9" s="1767"/>
      <c r="BC9" s="1767"/>
      <c r="BD9" s="1767"/>
      <c r="BE9" s="1767"/>
      <c r="BF9" s="1767"/>
      <c r="BG9" s="1767"/>
      <c r="BH9" s="1767"/>
      <c r="BI9" s="1767"/>
      <c r="BJ9" s="1767"/>
      <c r="BK9" s="1767"/>
    </row>
    <row r="10" spans="1:63" ht="39" customHeight="1">
      <c r="A10" s="1733"/>
      <c r="B10" s="1729">
        <v>1</v>
      </c>
      <c r="C10" s="1736" t="s">
        <v>1048</v>
      </c>
      <c r="D10" s="1767"/>
      <c r="E10" s="1767"/>
      <c r="F10" s="1767"/>
      <c r="G10" s="1767"/>
      <c r="H10" s="1767"/>
      <c r="I10" s="1767"/>
      <c r="J10" s="1767"/>
      <c r="K10" s="1767"/>
      <c r="L10" s="1767"/>
      <c r="M10" s="1767"/>
      <c r="N10" s="1767"/>
      <c r="O10" s="1767"/>
      <c r="P10" s="1767"/>
      <c r="Q10" s="1767"/>
      <c r="R10" s="1767"/>
      <c r="S10" s="1767"/>
      <c r="T10" s="1767"/>
      <c r="U10" s="1767"/>
      <c r="V10" s="1767"/>
      <c r="W10" s="1767"/>
      <c r="X10" s="1767"/>
      <c r="Y10" s="1767"/>
      <c r="Z10" s="1767"/>
      <c r="AA10" s="1767"/>
      <c r="AB10" s="1767"/>
      <c r="AC10" s="1767"/>
      <c r="AD10" s="1767"/>
      <c r="AE10" s="1767"/>
      <c r="AF10" s="1767"/>
      <c r="AG10" s="1767"/>
      <c r="AH10" s="1767"/>
      <c r="AI10" s="1767"/>
      <c r="AJ10" s="1767"/>
      <c r="AK10" s="1767"/>
      <c r="AL10" s="1767"/>
      <c r="AM10" s="1767"/>
      <c r="AN10" s="1767"/>
      <c r="AO10" s="1767"/>
      <c r="AP10" s="1767"/>
      <c r="AQ10" s="1767"/>
      <c r="AR10" s="1767"/>
      <c r="AS10" s="1767"/>
      <c r="AT10" s="1767"/>
      <c r="AU10" s="1767"/>
      <c r="AV10" s="1767"/>
      <c r="AW10" s="1767"/>
      <c r="AX10" s="1767"/>
      <c r="AY10" s="1767"/>
      <c r="AZ10" s="1767"/>
      <c r="BA10" s="1767"/>
      <c r="BB10" s="1767"/>
      <c r="BC10" s="1767"/>
      <c r="BD10" s="1767"/>
      <c r="BE10" s="1767"/>
      <c r="BF10" s="1767"/>
      <c r="BG10" s="1767"/>
      <c r="BH10" s="1767"/>
      <c r="BI10" s="1767"/>
      <c r="BJ10" s="1767"/>
      <c r="BK10" s="1767"/>
    </row>
    <row r="11" spans="1:63" ht="39" customHeight="1">
      <c r="A11" s="1733"/>
      <c r="B11" s="1729">
        <v>2</v>
      </c>
      <c r="C11" s="1737" t="s">
        <v>1085</v>
      </c>
      <c r="D11" s="1767"/>
      <c r="E11" s="1767"/>
      <c r="F11" s="1767"/>
      <c r="G11" s="1767"/>
      <c r="H11" s="1767"/>
      <c r="I11" s="1767"/>
      <c r="J11" s="1767"/>
      <c r="K11" s="1767"/>
      <c r="L11" s="1767"/>
      <c r="M11" s="1767"/>
      <c r="N11" s="1767"/>
      <c r="O11" s="1767"/>
      <c r="P11" s="1767"/>
      <c r="Q11" s="1767"/>
      <c r="R11" s="1767"/>
      <c r="S11" s="1767"/>
      <c r="T11" s="1767"/>
      <c r="U11" s="1767"/>
      <c r="V11" s="1767"/>
      <c r="W11" s="1767"/>
      <c r="X11" s="1767"/>
      <c r="Y11" s="1767"/>
      <c r="Z11" s="1767"/>
      <c r="AA11" s="1767"/>
      <c r="AB11" s="1767"/>
      <c r="AC11" s="1767"/>
      <c r="AD11" s="1767"/>
      <c r="AE11" s="1767"/>
      <c r="AF11" s="1767"/>
      <c r="AG11" s="1767"/>
      <c r="AH11" s="1767"/>
      <c r="AI11" s="1767"/>
      <c r="AJ11" s="1767"/>
      <c r="AK11" s="1767"/>
      <c r="AL11" s="1767"/>
      <c r="AM11" s="1767"/>
      <c r="AN11" s="1767"/>
      <c r="AO11" s="1767"/>
      <c r="AP11" s="1767"/>
      <c r="AQ11" s="1767"/>
      <c r="AR11" s="1767"/>
      <c r="AS11" s="1767"/>
      <c r="AT11" s="1767"/>
      <c r="AU11" s="1767"/>
      <c r="AV11" s="1767"/>
      <c r="AW11" s="1767"/>
      <c r="AX11" s="1767"/>
      <c r="AY11" s="1767"/>
      <c r="AZ11" s="1767"/>
      <c r="BA11" s="1767"/>
      <c r="BB11" s="1767"/>
      <c r="BC11" s="1767"/>
      <c r="BD11" s="1767"/>
      <c r="BE11" s="1767"/>
      <c r="BF11" s="1767"/>
      <c r="BG11" s="1767"/>
      <c r="BH11" s="1767"/>
      <c r="BI11" s="1767"/>
      <c r="BJ11" s="1767"/>
      <c r="BK11" s="1767"/>
    </row>
    <row r="12" spans="1:63" ht="33" customHeight="1">
      <c r="A12" s="1733"/>
      <c r="B12" s="1729"/>
      <c r="C12" s="1711" t="s">
        <v>1086</v>
      </c>
      <c r="D12" s="1767"/>
      <c r="E12" s="1767"/>
      <c r="F12" s="1767"/>
      <c r="G12" s="1767"/>
      <c r="H12" s="1767"/>
      <c r="I12" s="1767"/>
      <c r="J12" s="1767"/>
      <c r="K12" s="1767"/>
      <c r="L12" s="1767"/>
      <c r="M12" s="1767"/>
      <c r="N12" s="1767"/>
      <c r="O12" s="1767"/>
      <c r="P12" s="1767"/>
      <c r="Q12" s="1767"/>
      <c r="R12" s="1767"/>
      <c r="S12" s="1767"/>
      <c r="T12" s="1767"/>
      <c r="U12" s="1767"/>
      <c r="V12" s="1767"/>
      <c r="W12" s="1767"/>
      <c r="X12" s="1767"/>
      <c r="Y12" s="1767"/>
      <c r="Z12" s="1767"/>
      <c r="AA12" s="1767"/>
      <c r="AB12" s="1767"/>
      <c r="AC12" s="1767"/>
      <c r="AD12" s="1767"/>
      <c r="AE12" s="1767"/>
      <c r="AF12" s="1767"/>
      <c r="AG12" s="1767"/>
      <c r="AH12" s="1767"/>
      <c r="AI12" s="1767"/>
      <c r="AJ12" s="1767"/>
      <c r="AK12" s="1767"/>
      <c r="AL12" s="1767"/>
      <c r="AM12" s="1767"/>
      <c r="AN12" s="1767"/>
      <c r="AO12" s="1767"/>
      <c r="AP12" s="1767"/>
      <c r="AQ12" s="1767"/>
      <c r="AR12" s="1767"/>
      <c r="AS12" s="1767"/>
      <c r="AT12" s="1767"/>
      <c r="AU12" s="1767"/>
      <c r="AV12" s="1767"/>
      <c r="AW12" s="1767"/>
      <c r="AX12" s="1767"/>
      <c r="AY12" s="1767"/>
      <c r="AZ12" s="1767"/>
      <c r="BA12" s="1767"/>
      <c r="BB12" s="1767"/>
      <c r="BC12" s="1767"/>
      <c r="BD12" s="1767"/>
      <c r="BE12" s="1767"/>
      <c r="BF12" s="1767"/>
      <c r="BG12" s="1767"/>
      <c r="BH12" s="1767"/>
      <c r="BI12" s="1767"/>
      <c r="BJ12" s="1767"/>
      <c r="BK12" s="1767"/>
    </row>
    <row r="13" spans="1:63" ht="39" customHeight="1">
      <c r="A13" s="1733"/>
      <c r="B13" s="1729"/>
      <c r="C13" s="1712" t="s">
        <v>1087</v>
      </c>
      <c r="D13" s="1767"/>
      <c r="E13" s="1767"/>
      <c r="F13" s="1767"/>
      <c r="G13" s="1767"/>
      <c r="H13" s="1767"/>
      <c r="I13" s="1767"/>
      <c r="J13" s="1767"/>
      <c r="K13" s="1767"/>
      <c r="L13" s="1767"/>
      <c r="M13" s="1767"/>
      <c r="N13" s="1767"/>
      <c r="O13" s="1767"/>
      <c r="P13" s="1767"/>
      <c r="Q13" s="1767"/>
      <c r="R13" s="1767"/>
      <c r="S13" s="1767"/>
      <c r="T13" s="1767"/>
      <c r="U13" s="1767"/>
      <c r="V13" s="1767"/>
      <c r="W13" s="1767"/>
      <c r="X13" s="1767"/>
      <c r="Y13" s="1767"/>
      <c r="Z13" s="1767"/>
      <c r="AA13" s="1767"/>
      <c r="AB13" s="1767"/>
      <c r="AC13" s="1767"/>
      <c r="AD13" s="1767"/>
      <c r="AE13" s="1767"/>
      <c r="AF13" s="1767"/>
      <c r="AG13" s="1767"/>
      <c r="AH13" s="1767"/>
      <c r="AI13" s="1767"/>
      <c r="AJ13" s="1767"/>
      <c r="AK13" s="1767"/>
      <c r="AL13" s="1767"/>
      <c r="AM13" s="1767"/>
      <c r="AN13" s="1767"/>
      <c r="AO13" s="1767"/>
      <c r="AP13" s="1767"/>
      <c r="AQ13" s="1767"/>
      <c r="AR13" s="1767"/>
      <c r="AS13" s="1767"/>
      <c r="AT13" s="1767"/>
      <c r="AU13" s="1767"/>
      <c r="AV13" s="1767"/>
      <c r="AW13" s="1767"/>
      <c r="AX13" s="1767"/>
      <c r="AY13" s="1767"/>
      <c r="AZ13" s="1767"/>
      <c r="BA13" s="1767"/>
      <c r="BB13" s="1767"/>
      <c r="BC13" s="1767"/>
      <c r="BD13" s="1767"/>
      <c r="BE13" s="1767"/>
      <c r="BF13" s="1767"/>
      <c r="BG13" s="1767"/>
      <c r="BH13" s="1767"/>
      <c r="BI13" s="1767"/>
      <c r="BJ13" s="1767"/>
      <c r="BK13" s="1767"/>
    </row>
    <row r="14" spans="1:63" ht="22.5" customHeight="1">
      <c r="A14" s="1733"/>
      <c r="B14" s="1729">
        <v>3</v>
      </c>
      <c r="C14" s="1736" t="s">
        <v>552</v>
      </c>
      <c r="D14" s="1767"/>
      <c r="E14" s="1767"/>
      <c r="F14" s="1767"/>
      <c r="G14" s="1767"/>
      <c r="H14" s="1767"/>
      <c r="I14" s="1767"/>
      <c r="J14" s="1767"/>
      <c r="K14" s="1767"/>
      <c r="L14" s="1767"/>
      <c r="M14" s="1767"/>
      <c r="N14" s="1767"/>
      <c r="O14" s="1767"/>
      <c r="P14" s="1767"/>
      <c r="Q14" s="1767"/>
      <c r="R14" s="1767"/>
      <c r="S14" s="1767"/>
      <c r="T14" s="1767"/>
      <c r="U14" s="1767"/>
      <c r="V14" s="1767"/>
      <c r="W14" s="1767"/>
      <c r="X14" s="1767"/>
      <c r="Y14" s="1767"/>
      <c r="Z14" s="1767"/>
      <c r="AA14" s="1767"/>
      <c r="AB14" s="1767"/>
      <c r="AC14" s="1767"/>
      <c r="AD14" s="1767"/>
      <c r="AE14" s="1767"/>
      <c r="AF14" s="1767"/>
      <c r="AG14" s="1767"/>
      <c r="AH14" s="1767"/>
      <c r="AI14" s="1767"/>
      <c r="AJ14" s="1767"/>
      <c r="AK14" s="1767"/>
      <c r="AL14" s="1767"/>
      <c r="AM14" s="1767"/>
      <c r="AN14" s="1767"/>
      <c r="AO14" s="1767"/>
      <c r="AP14" s="1767"/>
      <c r="AQ14" s="1767"/>
      <c r="AR14" s="1767"/>
      <c r="AS14" s="1767"/>
      <c r="AT14" s="1767"/>
      <c r="AU14" s="1767"/>
      <c r="AV14" s="1767"/>
      <c r="AW14" s="1767"/>
      <c r="AX14" s="1767"/>
      <c r="AY14" s="1767"/>
      <c r="AZ14" s="1767"/>
      <c r="BA14" s="1767"/>
      <c r="BB14" s="1767"/>
      <c r="BC14" s="1767"/>
      <c r="BD14" s="1767"/>
      <c r="BE14" s="1767"/>
      <c r="BF14" s="1767"/>
      <c r="BG14" s="1767"/>
      <c r="BH14" s="1767"/>
      <c r="BI14" s="1767"/>
      <c r="BJ14" s="1767"/>
      <c r="BK14" s="1767"/>
    </row>
    <row r="15" spans="1:63" ht="22.5" customHeight="1">
      <c r="A15" s="1733"/>
      <c r="B15" s="1729">
        <v>4</v>
      </c>
      <c r="C15" s="1738" t="s">
        <v>555</v>
      </c>
      <c r="D15" s="1767"/>
      <c r="E15" s="1767"/>
      <c r="F15" s="1767"/>
      <c r="G15" s="1767"/>
      <c r="H15" s="1767"/>
      <c r="I15" s="1767"/>
      <c r="J15" s="1767"/>
      <c r="K15" s="1767"/>
      <c r="L15" s="1767"/>
      <c r="M15" s="1767"/>
      <c r="N15" s="1767"/>
      <c r="O15" s="1767"/>
      <c r="P15" s="1767"/>
      <c r="Q15" s="1767"/>
      <c r="R15" s="1767"/>
      <c r="S15" s="1767"/>
      <c r="T15" s="1767"/>
      <c r="U15" s="1767"/>
      <c r="V15" s="1767"/>
      <c r="W15" s="1767"/>
      <c r="X15" s="1767"/>
      <c r="Y15" s="1767"/>
      <c r="Z15" s="1767"/>
      <c r="AA15" s="1767"/>
      <c r="AB15" s="1767"/>
      <c r="AC15" s="1767"/>
      <c r="AD15" s="1767"/>
      <c r="AE15" s="1767"/>
      <c r="AF15" s="1767"/>
      <c r="AG15" s="1767"/>
      <c r="AH15" s="1767"/>
      <c r="AI15" s="1767"/>
      <c r="AJ15" s="1767"/>
      <c r="AK15" s="1767"/>
      <c r="AL15" s="1767"/>
      <c r="AM15" s="1767"/>
      <c r="AN15" s="1767"/>
      <c r="AO15" s="1767"/>
      <c r="AP15" s="1767"/>
      <c r="AQ15" s="1767"/>
      <c r="AR15" s="1767"/>
      <c r="AS15" s="1767"/>
      <c r="AT15" s="1767"/>
      <c r="AU15" s="1767"/>
      <c r="AV15" s="1767"/>
      <c r="AW15" s="1767"/>
      <c r="AX15" s="1767"/>
      <c r="AY15" s="1767"/>
      <c r="AZ15" s="1767"/>
      <c r="BA15" s="1767"/>
      <c r="BB15" s="1767"/>
      <c r="BC15" s="1767"/>
      <c r="BD15" s="1767"/>
      <c r="BE15" s="1767"/>
      <c r="BF15" s="1767"/>
      <c r="BG15" s="1767"/>
      <c r="BH15" s="1767"/>
      <c r="BI15" s="1767"/>
      <c r="BJ15" s="1767"/>
      <c r="BK15" s="1767"/>
    </row>
    <row r="16" spans="1:63" ht="22.5" customHeight="1">
      <c r="A16" s="1733"/>
      <c r="B16" s="1729">
        <v>5</v>
      </c>
      <c r="C16" s="1738" t="s">
        <v>1051</v>
      </c>
      <c r="D16" s="1767"/>
      <c r="E16" s="1767"/>
      <c r="F16" s="1767"/>
      <c r="G16" s="1767"/>
      <c r="H16" s="1767"/>
      <c r="I16" s="1767"/>
      <c r="J16" s="1767"/>
      <c r="K16" s="1767"/>
      <c r="L16" s="1767"/>
      <c r="M16" s="1767"/>
      <c r="N16" s="1767"/>
      <c r="O16" s="1767"/>
      <c r="P16" s="1767"/>
      <c r="Q16" s="1767"/>
      <c r="R16" s="1767"/>
      <c r="S16" s="1767"/>
      <c r="T16" s="1767"/>
      <c r="U16" s="1767"/>
      <c r="V16" s="1767"/>
      <c r="W16" s="1767"/>
      <c r="X16" s="1767"/>
      <c r="Y16" s="1767"/>
      <c r="Z16" s="1767"/>
      <c r="AA16" s="1767"/>
      <c r="AB16" s="1767"/>
      <c r="AC16" s="1767"/>
      <c r="AD16" s="1767"/>
      <c r="AE16" s="1767"/>
      <c r="AF16" s="1767"/>
      <c r="AG16" s="1767"/>
      <c r="AH16" s="1767"/>
      <c r="AI16" s="1767"/>
      <c r="AJ16" s="1767"/>
      <c r="AK16" s="1767"/>
      <c r="AL16" s="1767"/>
      <c r="AM16" s="1767"/>
      <c r="AN16" s="1767"/>
      <c r="AO16" s="1767"/>
      <c r="AP16" s="1767"/>
      <c r="AQ16" s="1767"/>
      <c r="AR16" s="1767"/>
      <c r="AS16" s="1767"/>
      <c r="AT16" s="1767"/>
      <c r="AU16" s="1767"/>
      <c r="AV16" s="1767"/>
      <c r="AW16" s="1767"/>
      <c r="AX16" s="1767"/>
      <c r="AY16" s="1767"/>
      <c r="AZ16" s="1767"/>
      <c r="BA16" s="1767"/>
      <c r="BB16" s="1767"/>
      <c r="BC16" s="1767"/>
      <c r="BD16" s="1767"/>
      <c r="BE16" s="1767"/>
      <c r="BF16" s="1767"/>
      <c r="BG16" s="1767"/>
      <c r="BH16" s="1767"/>
      <c r="BI16" s="1767"/>
      <c r="BJ16" s="1767"/>
      <c r="BK16" s="1767"/>
    </row>
    <row r="17" spans="1:63" ht="37.5" customHeight="1">
      <c r="A17" s="1733">
        <v>31</v>
      </c>
      <c r="B17" s="1729"/>
      <c r="C17" s="1740" t="s">
        <v>30</v>
      </c>
      <c r="D17" s="1767"/>
      <c r="E17" s="1767"/>
      <c r="F17" s="1767"/>
      <c r="G17" s="1767"/>
      <c r="H17" s="1767"/>
      <c r="I17" s="1767"/>
      <c r="J17" s="1767"/>
      <c r="K17" s="1767"/>
      <c r="L17" s="1767"/>
      <c r="M17" s="1767"/>
      <c r="N17" s="1767"/>
      <c r="O17" s="1767"/>
      <c r="P17" s="1767"/>
      <c r="Q17" s="1767"/>
      <c r="R17" s="1767"/>
      <c r="S17" s="1767"/>
      <c r="T17" s="1767"/>
      <c r="U17" s="1767"/>
      <c r="V17" s="1767"/>
      <c r="W17" s="1767"/>
      <c r="X17" s="1767"/>
      <c r="Y17" s="1767"/>
      <c r="Z17" s="1767"/>
      <c r="AA17" s="1767"/>
      <c r="AB17" s="1767"/>
      <c r="AC17" s="1767"/>
      <c r="AD17" s="1767"/>
      <c r="AE17" s="1767"/>
      <c r="AF17" s="1767"/>
      <c r="AG17" s="1767"/>
      <c r="AH17" s="1767"/>
      <c r="AI17" s="1767"/>
      <c r="AJ17" s="1767"/>
      <c r="AK17" s="1767"/>
      <c r="AL17" s="1767"/>
      <c r="AM17" s="1767"/>
      <c r="AN17" s="1767"/>
      <c r="AO17" s="1767"/>
      <c r="AP17" s="1767"/>
      <c r="AQ17" s="1767"/>
      <c r="AR17" s="1767"/>
      <c r="AS17" s="1767"/>
      <c r="AT17" s="1767"/>
      <c r="AU17" s="1767"/>
      <c r="AV17" s="1767"/>
      <c r="AW17" s="1767"/>
      <c r="AX17" s="1767"/>
      <c r="AY17" s="1767"/>
      <c r="AZ17" s="1767"/>
      <c r="BA17" s="1767"/>
      <c r="BB17" s="1767"/>
      <c r="BC17" s="1767"/>
      <c r="BD17" s="1767"/>
      <c r="BE17" s="1767"/>
      <c r="BF17" s="1767"/>
      <c r="BG17" s="1767"/>
      <c r="BH17" s="1767"/>
      <c r="BI17" s="1767"/>
      <c r="BJ17" s="1767"/>
      <c r="BK17" s="1767"/>
    </row>
    <row r="18" spans="1:63" ht="37.5" customHeight="1">
      <c r="A18" s="1733"/>
      <c r="B18" s="1729">
        <v>1</v>
      </c>
      <c r="C18" s="1740" t="s">
        <v>1053</v>
      </c>
      <c r="D18" s="1767"/>
      <c r="E18" s="1767"/>
      <c r="F18" s="1767"/>
      <c r="G18" s="1767"/>
      <c r="H18" s="1767"/>
      <c r="I18" s="1767"/>
      <c r="J18" s="1767"/>
      <c r="K18" s="1767"/>
      <c r="L18" s="1767"/>
      <c r="M18" s="1767"/>
      <c r="N18" s="1767"/>
      <c r="O18" s="1767"/>
      <c r="P18" s="1767"/>
      <c r="Q18" s="1767"/>
      <c r="R18" s="1767"/>
      <c r="S18" s="1767"/>
      <c r="T18" s="1767"/>
      <c r="U18" s="1767"/>
      <c r="V18" s="1767"/>
      <c r="W18" s="1767"/>
      <c r="X18" s="1767"/>
      <c r="Y18" s="1767"/>
      <c r="Z18" s="1767"/>
      <c r="AA18" s="1767"/>
      <c r="AB18" s="1767"/>
      <c r="AC18" s="1767"/>
      <c r="AD18" s="1767"/>
      <c r="AE18" s="1767"/>
      <c r="AF18" s="1767"/>
      <c r="AG18" s="1767"/>
      <c r="AH18" s="1767"/>
      <c r="AI18" s="1767"/>
      <c r="AJ18" s="1767"/>
      <c r="AK18" s="1767"/>
      <c r="AL18" s="1767"/>
      <c r="AM18" s="1767"/>
      <c r="AN18" s="1767"/>
      <c r="AO18" s="1767"/>
      <c r="AP18" s="1767"/>
      <c r="AQ18" s="1767"/>
      <c r="AR18" s="1767"/>
      <c r="AS18" s="1767"/>
      <c r="AT18" s="1767"/>
      <c r="AU18" s="1767"/>
      <c r="AV18" s="1767"/>
      <c r="AW18" s="1767"/>
      <c r="AX18" s="1767"/>
      <c r="AY18" s="1767"/>
      <c r="AZ18" s="1767"/>
      <c r="BA18" s="1767"/>
      <c r="BB18" s="1767"/>
      <c r="BC18" s="1767"/>
      <c r="BD18" s="1767"/>
      <c r="BE18" s="1767"/>
      <c r="BF18" s="1767"/>
      <c r="BG18" s="1767"/>
      <c r="BH18" s="1767"/>
      <c r="BI18" s="1767"/>
      <c r="BJ18" s="1767"/>
      <c r="BK18" s="1767"/>
    </row>
    <row r="19" spans="1:63" ht="42" customHeight="1">
      <c r="A19" s="1733"/>
      <c r="B19" s="1750" t="s">
        <v>1054</v>
      </c>
      <c r="C19" s="1736" t="s">
        <v>1055</v>
      </c>
      <c r="D19" s="1767"/>
      <c r="E19" s="1767"/>
      <c r="F19" s="1767"/>
      <c r="G19" s="1767"/>
      <c r="H19" s="1767"/>
      <c r="I19" s="1767"/>
      <c r="J19" s="1767"/>
      <c r="K19" s="1767"/>
      <c r="L19" s="1767"/>
      <c r="M19" s="1767"/>
      <c r="N19" s="1767"/>
      <c r="O19" s="1767"/>
      <c r="P19" s="1767"/>
      <c r="Q19" s="1767"/>
      <c r="R19" s="1767"/>
      <c r="S19" s="1767"/>
      <c r="T19" s="1767"/>
      <c r="U19" s="1767"/>
      <c r="V19" s="1767"/>
      <c r="W19" s="1767"/>
      <c r="X19" s="1767"/>
      <c r="Y19" s="1767"/>
      <c r="Z19" s="1767"/>
      <c r="AA19" s="1767"/>
      <c r="AB19" s="1767"/>
      <c r="AC19" s="1767"/>
      <c r="AD19" s="1767"/>
      <c r="AE19" s="1767"/>
      <c r="AF19" s="1767"/>
      <c r="AG19" s="1767"/>
      <c r="AH19" s="1767"/>
      <c r="AI19" s="1767"/>
      <c r="AJ19" s="1767"/>
      <c r="AK19" s="1767"/>
      <c r="AL19" s="1767"/>
      <c r="AM19" s="1767"/>
      <c r="AN19" s="1767"/>
      <c r="AO19" s="1767"/>
      <c r="AP19" s="1767"/>
      <c r="AQ19" s="1767"/>
      <c r="AR19" s="1767"/>
      <c r="AS19" s="1767"/>
      <c r="AT19" s="1767"/>
      <c r="AU19" s="1767"/>
      <c r="AV19" s="1767"/>
      <c r="AW19" s="1767"/>
      <c r="AX19" s="1767"/>
      <c r="AY19" s="1767"/>
      <c r="AZ19" s="1767"/>
      <c r="BA19" s="1767"/>
      <c r="BB19" s="1767"/>
      <c r="BC19" s="1767"/>
      <c r="BD19" s="1767"/>
      <c r="BE19" s="1767"/>
      <c r="BF19" s="1767"/>
      <c r="BG19" s="1767"/>
      <c r="BH19" s="1767"/>
      <c r="BI19" s="1767"/>
      <c r="BJ19" s="1767"/>
      <c r="BK19" s="1767"/>
    </row>
    <row r="20" spans="1:63" ht="22.5" customHeight="1">
      <c r="A20" s="1733"/>
      <c r="B20" s="1732"/>
      <c r="C20" s="1712" t="s">
        <v>1042</v>
      </c>
      <c r="D20" s="1767"/>
      <c r="E20" s="1767"/>
      <c r="F20" s="1767"/>
      <c r="G20" s="1767"/>
      <c r="H20" s="1767"/>
      <c r="I20" s="1767"/>
      <c r="J20" s="1767"/>
      <c r="K20" s="1767"/>
      <c r="L20" s="1767"/>
      <c r="M20" s="1767"/>
      <c r="N20" s="1767"/>
      <c r="O20" s="1767"/>
      <c r="P20" s="1767"/>
      <c r="Q20" s="1767"/>
      <c r="R20" s="1767"/>
      <c r="S20" s="1767"/>
      <c r="T20" s="1767"/>
      <c r="U20" s="1767"/>
      <c r="V20" s="1767"/>
      <c r="W20" s="1767"/>
      <c r="X20" s="1767"/>
      <c r="Y20" s="1767"/>
      <c r="Z20" s="1767"/>
      <c r="AA20" s="1767"/>
      <c r="AB20" s="1767"/>
      <c r="AC20" s="1767"/>
      <c r="AD20" s="1767"/>
      <c r="AE20" s="1767"/>
      <c r="AF20" s="1767"/>
      <c r="AG20" s="1767"/>
      <c r="AH20" s="1767"/>
      <c r="AI20" s="1767"/>
      <c r="AJ20" s="1767"/>
      <c r="AK20" s="1767"/>
      <c r="AL20" s="1767"/>
      <c r="AM20" s="1767"/>
      <c r="AN20" s="1767"/>
      <c r="AO20" s="1767"/>
      <c r="AP20" s="1767"/>
      <c r="AQ20" s="1767"/>
      <c r="AR20" s="1767"/>
      <c r="AS20" s="1767"/>
      <c r="AT20" s="1767"/>
      <c r="AU20" s="1767"/>
      <c r="AV20" s="1767"/>
      <c r="AW20" s="1767"/>
      <c r="AX20" s="1767"/>
      <c r="AY20" s="1767"/>
      <c r="AZ20" s="1767"/>
      <c r="BA20" s="1767"/>
      <c r="BB20" s="1767"/>
      <c r="BC20" s="1767"/>
      <c r="BD20" s="1767"/>
      <c r="BE20" s="1767"/>
      <c r="BF20" s="1767"/>
      <c r="BG20" s="1767"/>
      <c r="BH20" s="1767"/>
      <c r="BI20" s="1767"/>
      <c r="BJ20" s="1767"/>
      <c r="BK20" s="1767"/>
    </row>
    <row r="21" spans="1:63" ht="22.5" customHeight="1">
      <c r="A21" s="1733"/>
      <c r="B21" s="1732"/>
      <c r="C21" s="1712" t="s">
        <v>1043</v>
      </c>
      <c r="D21" s="1767"/>
      <c r="E21" s="1767"/>
      <c r="F21" s="1767"/>
      <c r="G21" s="1767"/>
      <c r="H21" s="1767"/>
      <c r="I21" s="1767"/>
      <c r="J21" s="1767"/>
      <c r="K21" s="1767"/>
      <c r="L21" s="1767"/>
      <c r="M21" s="1767"/>
      <c r="N21" s="1767"/>
      <c r="O21" s="1767"/>
      <c r="P21" s="1767"/>
      <c r="Q21" s="1767"/>
      <c r="R21" s="1767"/>
      <c r="S21" s="1767"/>
      <c r="T21" s="1767"/>
      <c r="U21" s="1767"/>
      <c r="V21" s="1767"/>
      <c r="W21" s="1767"/>
      <c r="X21" s="1767"/>
      <c r="Y21" s="1767"/>
      <c r="Z21" s="1767"/>
      <c r="AA21" s="1767"/>
      <c r="AB21" s="1767"/>
      <c r="AC21" s="1767"/>
      <c r="AD21" s="1767"/>
      <c r="AE21" s="1767"/>
      <c r="AF21" s="1767"/>
      <c r="AG21" s="1767"/>
      <c r="AH21" s="1767"/>
      <c r="AI21" s="1767"/>
      <c r="AJ21" s="1767"/>
      <c r="AK21" s="1767"/>
      <c r="AL21" s="1767"/>
      <c r="AM21" s="1767"/>
      <c r="AN21" s="1767"/>
      <c r="AO21" s="1767"/>
      <c r="AP21" s="1767"/>
      <c r="AQ21" s="1767"/>
      <c r="AR21" s="1767"/>
      <c r="AS21" s="1767"/>
      <c r="AT21" s="1767"/>
      <c r="AU21" s="1767"/>
      <c r="AV21" s="1767"/>
      <c r="AW21" s="1767"/>
      <c r="AX21" s="1767"/>
      <c r="AY21" s="1767"/>
      <c r="AZ21" s="1767"/>
      <c r="BA21" s="1767"/>
      <c r="BB21" s="1767"/>
      <c r="BC21" s="1767"/>
      <c r="BD21" s="1767"/>
      <c r="BE21" s="1767"/>
      <c r="BF21" s="1767"/>
      <c r="BG21" s="1767"/>
      <c r="BH21" s="1767"/>
      <c r="BI21" s="1767"/>
      <c r="BJ21" s="1767"/>
      <c r="BK21" s="1767"/>
    </row>
    <row r="22" spans="1:63" ht="22.5" customHeight="1">
      <c r="A22" s="1733"/>
      <c r="B22" s="1732"/>
      <c r="C22" s="1712" t="s">
        <v>1044</v>
      </c>
      <c r="D22" s="1767"/>
      <c r="E22" s="1767"/>
      <c r="F22" s="1767"/>
      <c r="G22" s="1767"/>
      <c r="H22" s="1767"/>
      <c r="I22" s="1767"/>
      <c r="J22" s="1767"/>
      <c r="K22" s="1767"/>
      <c r="L22" s="1767"/>
      <c r="M22" s="1767"/>
      <c r="N22" s="1767"/>
      <c r="O22" s="1767"/>
      <c r="P22" s="1767"/>
      <c r="Q22" s="1767"/>
      <c r="R22" s="1767"/>
      <c r="S22" s="1767"/>
      <c r="T22" s="1767"/>
      <c r="U22" s="1767"/>
      <c r="V22" s="1767"/>
      <c r="W22" s="1767"/>
      <c r="X22" s="1767"/>
      <c r="Y22" s="1767"/>
      <c r="Z22" s="1767"/>
      <c r="AA22" s="1767"/>
      <c r="AB22" s="1767"/>
      <c r="AC22" s="1767"/>
      <c r="AD22" s="1767"/>
      <c r="AE22" s="1767"/>
      <c r="AF22" s="1767"/>
      <c r="AG22" s="1767"/>
      <c r="AH22" s="1767"/>
      <c r="AI22" s="1767"/>
      <c r="AJ22" s="1767"/>
      <c r="AK22" s="1767"/>
      <c r="AL22" s="1767"/>
      <c r="AM22" s="1767"/>
      <c r="AN22" s="1767"/>
      <c r="AO22" s="1767"/>
      <c r="AP22" s="1767"/>
      <c r="AQ22" s="1767"/>
      <c r="AR22" s="1767"/>
      <c r="AS22" s="1767"/>
      <c r="AT22" s="1767"/>
      <c r="AU22" s="1767"/>
      <c r="AV22" s="1767"/>
      <c r="AW22" s="1767"/>
      <c r="AX22" s="1767"/>
      <c r="AY22" s="1767"/>
      <c r="AZ22" s="1767"/>
      <c r="BA22" s="1767"/>
      <c r="BB22" s="1767"/>
      <c r="BC22" s="1767"/>
      <c r="BD22" s="1767"/>
      <c r="BE22" s="1767"/>
      <c r="BF22" s="1767"/>
      <c r="BG22" s="1767"/>
      <c r="BH22" s="1767"/>
      <c r="BI22" s="1767"/>
      <c r="BJ22" s="1767"/>
      <c r="BK22" s="1767"/>
    </row>
    <row r="23" spans="1:63" ht="22.5" customHeight="1">
      <c r="A23" s="1733"/>
      <c r="B23" s="1732"/>
      <c r="C23" s="1712" t="s">
        <v>1036</v>
      </c>
      <c r="D23" s="1767"/>
      <c r="E23" s="1767"/>
      <c r="F23" s="1767"/>
      <c r="G23" s="1767"/>
      <c r="H23" s="1767"/>
      <c r="I23" s="1767"/>
      <c r="J23" s="1767"/>
      <c r="K23" s="1767"/>
      <c r="L23" s="1767"/>
      <c r="M23" s="1767"/>
      <c r="N23" s="1767"/>
      <c r="O23" s="1767"/>
      <c r="P23" s="1767"/>
      <c r="Q23" s="1767"/>
      <c r="R23" s="1767"/>
      <c r="S23" s="1767"/>
      <c r="T23" s="1767"/>
      <c r="U23" s="1767"/>
      <c r="V23" s="1767"/>
      <c r="W23" s="1767"/>
      <c r="X23" s="1767"/>
      <c r="Y23" s="1767"/>
      <c r="Z23" s="1767"/>
      <c r="AA23" s="1767"/>
      <c r="AB23" s="1767"/>
      <c r="AC23" s="1767"/>
      <c r="AD23" s="1767"/>
      <c r="AE23" s="1767"/>
      <c r="AF23" s="1767"/>
      <c r="AG23" s="1767"/>
      <c r="AH23" s="1767"/>
      <c r="AI23" s="1767"/>
      <c r="AJ23" s="1767"/>
      <c r="AK23" s="1767"/>
      <c r="AL23" s="1767"/>
      <c r="AM23" s="1767"/>
      <c r="AN23" s="1767"/>
      <c r="AO23" s="1767"/>
      <c r="AP23" s="1767"/>
      <c r="AQ23" s="1767"/>
      <c r="AR23" s="1767"/>
      <c r="AS23" s="1767"/>
      <c r="AT23" s="1767"/>
      <c r="AU23" s="1767"/>
      <c r="AV23" s="1767"/>
      <c r="AW23" s="1767"/>
      <c r="AX23" s="1767"/>
      <c r="AY23" s="1767"/>
      <c r="AZ23" s="1767"/>
      <c r="BA23" s="1767"/>
      <c r="BB23" s="1767"/>
      <c r="BC23" s="1767"/>
      <c r="BD23" s="1767"/>
      <c r="BE23" s="1767"/>
      <c r="BF23" s="1767"/>
      <c r="BG23" s="1767"/>
      <c r="BH23" s="1767"/>
      <c r="BI23" s="1767"/>
      <c r="BJ23" s="1767"/>
      <c r="BK23" s="1767"/>
    </row>
    <row r="24" spans="1:63" ht="39" customHeight="1">
      <c r="A24" s="1733"/>
      <c r="B24" s="1750" t="s">
        <v>1054</v>
      </c>
      <c r="C24" s="1736" t="s">
        <v>1056</v>
      </c>
      <c r="D24" s="1767"/>
      <c r="E24" s="1767"/>
      <c r="F24" s="1767"/>
      <c r="G24" s="1767"/>
      <c r="H24" s="1767"/>
      <c r="I24" s="1767"/>
      <c r="J24" s="1767"/>
      <c r="K24" s="1767"/>
      <c r="L24" s="1767"/>
      <c r="M24" s="1767"/>
      <c r="N24" s="1767"/>
      <c r="O24" s="1767"/>
      <c r="P24" s="1767"/>
      <c r="Q24" s="1767"/>
      <c r="R24" s="1767"/>
      <c r="S24" s="1767"/>
      <c r="T24" s="1767"/>
      <c r="U24" s="1767"/>
      <c r="V24" s="1767"/>
      <c r="W24" s="1767"/>
      <c r="X24" s="1767"/>
      <c r="Y24" s="1767"/>
      <c r="Z24" s="1767"/>
      <c r="AA24" s="1767"/>
      <c r="AB24" s="1767"/>
      <c r="AC24" s="1767"/>
      <c r="AD24" s="1767"/>
      <c r="AE24" s="1767"/>
      <c r="AF24" s="1767"/>
      <c r="AG24" s="1767"/>
      <c r="AH24" s="1767"/>
      <c r="AI24" s="1767"/>
      <c r="AJ24" s="1767"/>
      <c r="AK24" s="1767"/>
      <c r="AL24" s="1767"/>
      <c r="AM24" s="1767"/>
      <c r="AN24" s="1767"/>
      <c r="AO24" s="1767"/>
      <c r="AP24" s="1767"/>
      <c r="AQ24" s="1767"/>
      <c r="AR24" s="1767"/>
      <c r="AS24" s="1767"/>
      <c r="AT24" s="1767"/>
      <c r="AU24" s="1767"/>
      <c r="AV24" s="1767"/>
      <c r="AW24" s="1767"/>
      <c r="AX24" s="1767"/>
      <c r="AY24" s="1767"/>
      <c r="AZ24" s="1767"/>
      <c r="BA24" s="1767"/>
      <c r="BB24" s="1767"/>
      <c r="BC24" s="1767"/>
      <c r="BD24" s="1767"/>
      <c r="BE24" s="1767"/>
      <c r="BF24" s="1767"/>
      <c r="BG24" s="1767"/>
      <c r="BH24" s="1767"/>
      <c r="BI24" s="1767"/>
      <c r="BJ24" s="1767"/>
      <c r="BK24" s="1767"/>
    </row>
    <row r="25" spans="1:63" ht="22.5" customHeight="1">
      <c r="A25" s="1747"/>
      <c r="B25" s="1745"/>
      <c r="C25" s="1717" t="s">
        <v>1044</v>
      </c>
      <c r="D25" s="1767"/>
      <c r="E25" s="1767"/>
      <c r="F25" s="1767"/>
      <c r="G25" s="1767"/>
      <c r="H25" s="1767"/>
      <c r="I25" s="1767"/>
      <c r="J25" s="1767"/>
      <c r="K25" s="1767"/>
      <c r="L25" s="1767"/>
      <c r="M25" s="1767"/>
      <c r="N25" s="1767"/>
      <c r="O25" s="1767"/>
      <c r="P25" s="1767"/>
      <c r="Q25" s="1767"/>
      <c r="R25" s="1767"/>
      <c r="S25" s="1767"/>
      <c r="T25" s="1767"/>
      <c r="U25" s="1767"/>
      <c r="V25" s="1767"/>
      <c r="W25" s="1767"/>
      <c r="X25" s="1767"/>
      <c r="Y25" s="1767"/>
      <c r="Z25" s="1767"/>
      <c r="AA25" s="1767"/>
      <c r="AB25" s="1767"/>
      <c r="AC25" s="1767"/>
      <c r="AD25" s="1767"/>
      <c r="AE25" s="1767"/>
      <c r="AF25" s="1767"/>
      <c r="AG25" s="1767"/>
      <c r="AH25" s="1767"/>
      <c r="AI25" s="1767"/>
      <c r="AJ25" s="1767"/>
      <c r="AK25" s="1767"/>
      <c r="AL25" s="1767"/>
      <c r="AM25" s="1767"/>
      <c r="AN25" s="1767"/>
      <c r="AO25" s="1767"/>
      <c r="AP25" s="1767"/>
      <c r="AQ25" s="1767"/>
      <c r="AR25" s="1767"/>
      <c r="AS25" s="1767"/>
      <c r="AT25" s="1767"/>
      <c r="AU25" s="1767"/>
      <c r="AV25" s="1767"/>
      <c r="AW25" s="1767"/>
      <c r="AX25" s="1767"/>
      <c r="AY25" s="1767"/>
      <c r="AZ25" s="1767"/>
      <c r="BA25" s="1767"/>
      <c r="BB25" s="1767"/>
      <c r="BC25" s="1767"/>
      <c r="BD25" s="1767"/>
      <c r="BE25" s="1767"/>
      <c r="BF25" s="1767"/>
      <c r="BG25" s="1767"/>
      <c r="BH25" s="1767"/>
      <c r="BI25" s="1767"/>
      <c r="BJ25" s="1767"/>
      <c r="BK25" s="1767"/>
    </row>
    <row r="26" spans="1:63" ht="22.5" customHeight="1">
      <c r="A26" s="1748"/>
      <c r="B26" s="1746"/>
      <c r="C26" s="1717" t="s">
        <v>1036</v>
      </c>
      <c r="D26" s="1767"/>
      <c r="E26" s="1767"/>
      <c r="F26" s="1767"/>
      <c r="G26" s="1767"/>
      <c r="H26" s="1767"/>
      <c r="I26" s="1767"/>
      <c r="J26" s="1767"/>
      <c r="K26" s="1767"/>
      <c r="L26" s="1767"/>
      <c r="M26" s="1767"/>
      <c r="N26" s="1767"/>
      <c r="O26" s="1767"/>
      <c r="P26" s="1767"/>
      <c r="Q26" s="1767"/>
      <c r="R26" s="1767"/>
      <c r="S26" s="1767"/>
      <c r="T26" s="1767"/>
      <c r="U26" s="1767"/>
      <c r="V26" s="1767"/>
      <c r="W26" s="1767"/>
      <c r="X26" s="1767"/>
      <c r="Y26" s="1767"/>
      <c r="Z26" s="1767"/>
      <c r="AA26" s="1767"/>
      <c r="AB26" s="1767"/>
      <c r="AC26" s="1767"/>
      <c r="AD26" s="1767"/>
      <c r="AE26" s="1767"/>
      <c r="AF26" s="1767"/>
      <c r="AG26" s="1767"/>
      <c r="AH26" s="1767"/>
      <c r="AI26" s="1767"/>
      <c r="AJ26" s="1767"/>
      <c r="AK26" s="1767"/>
      <c r="AL26" s="1767"/>
      <c r="AM26" s="1767"/>
      <c r="AN26" s="1767"/>
      <c r="AO26" s="1767"/>
      <c r="AP26" s="1767"/>
      <c r="AQ26" s="1767"/>
      <c r="AR26" s="1767"/>
      <c r="AS26" s="1767"/>
      <c r="AT26" s="1767"/>
      <c r="AU26" s="1767"/>
      <c r="AV26" s="1767"/>
      <c r="AW26" s="1767"/>
      <c r="AX26" s="1767"/>
      <c r="AY26" s="1767"/>
      <c r="AZ26" s="1767"/>
      <c r="BA26" s="1767"/>
      <c r="BB26" s="1767"/>
      <c r="BC26" s="1767"/>
      <c r="BD26" s="1767"/>
      <c r="BE26" s="1767"/>
      <c r="BF26" s="1767"/>
      <c r="BG26" s="1767"/>
      <c r="BH26" s="1767"/>
      <c r="BI26" s="1767"/>
      <c r="BJ26" s="1767"/>
      <c r="BK26" s="1767"/>
    </row>
    <row r="27" spans="1:63" ht="22.5" customHeight="1">
      <c r="A27" s="1748"/>
      <c r="B27" s="1746"/>
      <c r="C27" s="1717" t="s">
        <v>1043</v>
      </c>
      <c r="D27" s="1767"/>
      <c r="E27" s="1767"/>
      <c r="F27" s="1767"/>
      <c r="G27" s="1767"/>
      <c r="H27" s="1767"/>
      <c r="I27" s="1767"/>
      <c r="J27" s="1767"/>
      <c r="K27" s="1767"/>
      <c r="L27" s="1767"/>
      <c r="M27" s="1767"/>
      <c r="N27" s="1767"/>
      <c r="O27" s="1767"/>
      <c r="P27" s="1767"/>
      <c r="Q27" s="1767"/>
      <c r="R27" s="1767"/>
      <c r="S27" s="1767"/>
      <c r="T27" s="1767"/>
      <c r="U27" s="1767"/>
      <c r="V27" s="1767"/>
      <c r="W27" s="1767"/>
      <c r="X27" s="1767"/>
      <c r="Y27" s="1767"/>
      <c r="Z27" s="1767"/>
      <c r="AA27" s="1767"/>
      <c r="AB27" s="1767"/>
      <c r="AC27" s="1767"/>
      <c r="AD27" s="1767"/>
      <c r="AE27" s="1767"/>
      <c r="AF27" s="1767"/>
      <c r="AG27" s="1767"/>
      <c r="AH27" s="1767"/>
      <c r="AI27" s="1767"/>
      <c r="AJ27" s="1767"/>
      <c r="AK27" s="1767"/>
      <c r="AL27" s="1767"/>
      <c r="AM27" s="1767"/>
      <c r="AN27" s="1767"/>
      <c r="AO27" s="1767"/>
      <c r="AP27" s="1767"/>
      <c r="AQ27" s="1767"/>
      <c r="AR27" s="1767"/>
      <c r="AS27" s="1767"/>
      <c r="AT27" s="1767"/>
      <c r="AU27" s="1767"/>
      <c r="AV27" s="1767"/>
      <c r="AW27" s="1767"/>
      <c r="AX27" s="1767"/>
      <c r="AY27" s="1767"/>
      <c r="AZ27" s="1767"/>
      <c r="BA27" s="1767"/>
      <c r="BB27" s="1767"/>
      <c r="BC27" s="1767"/>
      <c r="BD27" s="1767"/>
      <c r="BE27" s="1767"/>
      <c r="BF27" s="1767"/>
      <c r="BG27" s="1767"/>
      <c r="BH27" s="1767"/>
      <c r="BI27" s="1767"/>
      <c r="BJ27" s="1767"/>
      <c r="BK27" s="1767"/>
    </row>
    <row r="28" spans="1:63" ht="22.5" customHeight="1">
      <c r="A28" s="1733"/>
      <c r="B28" s="1751">
        <v>2</v>
      </c>
      <c r="C28" s="1736" t="s">
        <v>1052</v>
      </c>
      <c r="D28" s="1767"/>
      <c r="E28" s="1767"/>
      <c r="F28" s="1767"/>
      <c r="G28" s="1767"/>
      <c r="H28" s="1767"/>
      <c r="I28" s="1767"/>
      <c r="J28" s="1767"/>
      <c r="K28" s="1767"/>
      <c r="L28" s="1767"/>
      <c r="M28" s="1767"/>
      <c r="N28" s="1767"/>
      <c r="O28" s="1767"/>
      <c r="P28" s="1767"/>
      <c r="Q28" s="1767"/>
      <c r="R28" s="1767"/>
      <c r="S28" s="1767"/>
      <c r="T28" s="1767"/>
      <c r="U28" s="1767"/>
      <c r="V28" s="1767"/>
      <c r="W28" s="1767"/>
      <c r="X28" s="1767"/>
      <c r="Y28" s="1767"/>
      <c r="Z28" s="1767"/>
      <c r="AA28" s="1767"/>
      <c r="AB28" s="1767"/>
      <c r="AC28" s="1767"/>
      <c r="AD28" s="1767"/>
      <c r="AE28" s="1767"/>
      <c r="AF28" s="1767"/>
      <c r="AG28" s="1767"/>
      <c r="AH28" s="1767"/>
      <c r="AI28" s="1767"/>
      <c r="AJ28" s="1767"/>
      <c r="AK28" s="1767"/>
      <c r="AL28" s="1767"/>
      <c r="AM28" s="1767"/>
      <c r="AN28" s="1767"/>
      <c r="AO28" s="1767"/>
      <c r="AP28" s="1767"/>
      <c r="AQ28" s="1767"/>
      <c r="AR28" s="1767"/>
      <c r="AS28" s="1767"/>
      <c r="AT28" s="1767"/>
      <c r="AU28" s="1767"/>
      <c r="AV28" s="1767"/>
      <c r="AW28" s="1767"/>
      <c r="AX28" s="1767"/>
      <c r="AY28" s="1767"/>
      <c r="AZ28" s="1767"/>
      <c r="BA28" s="1767"/>
      <c r="BB28" s="1767"/>
      <c r="BC28" s="1767"/>
      <c r="BD28" s="1767"/>
      <c r="BE28" s="1767"/>
      <c r="BF28" s="1767"/>
      <c r="BG28" s="1767"/>
      <c r="BH28" s="1767"/>
      <c r="BI28" s="1767"/>
      <c r="BJ28" s="1767"/>
      <c r="BK28" s="1767"/>
    </row>
    <row r="29" spans="1:63" ht="22.5" customHeight="1">
      <c r="A29" s="1733"/>
      <c r="B29" s="1729"/>
      <c r="C29" s="1712" t="s">
        <v>1035</v>
      </c>
      <c r="D29" s="1767"/>
      <c r="E29" s="1767"/>
      <c r="F29" s="1767"/>
      <c r="G29" s="1767"/>
      <c r="H29" s="1767"/>
      <c r="I29" s="1767"/>
      <c r="J29" s="1767"/>
      <c r="K29" s="1767"/>
      <c r="L29" s="1767"/>
      <c r="M29" s="1767"/>
      <c r="N29" s="1767"/>
      <c r="O29" s="1767"/>
      <c r="P29" s="1767"/>
      <c r="Q29" s="1767"/>
      <c r="R29" s="1767"/>
      <c r="S29" s="1767"/>
      <c r="T29" s="1767"/>
      <c r="U29" s="1767"/>
      <c r="V29" s="1767"/>
      <c r="W29" s="1767"/>
      <c r="X29" s="1767"/>
      <c r="Y29" s="1767"/>
      <c r="Z29" s="1767"/>
      <c r="AA29" s="1767"/>
      <c r="AB29" s="1767"/>
      <c r="AC29" s="1767"/>
      <c r="AD29" s="1767"/>
      <c r="AE29" s="1767"/>
      <c r="AF29" s="1767"/>
      <c r="AG29" s="1767"/>
      <c r="AH29" s="1767"/>
      <c r="AI29" s="1767"/>
      <c r="AJ29" s="1767"/>
      <c r="AK29" s="1767"/>
      <c r="AL29" s="1767"/>
      <c r="AM29" s="1767"/>
      <c r="AN29" s="1767"/>
      <c r="AO29" s="1767"/>
      <c r="AP29" s="1767"/>
      <c r="AQ29" s="1767"/>
      <c r="AR29" s="1767"/>
      <c r="AS29" s="1767"/>
      <c r="AT29" s="1767"/>
      <c r="AU29" s="1767"/>
      <c r="AV29" s="1767"/>
      <c r="AW29" s="1767"/>
      <c r="AX29" s="1767"/>
      <c r="AY29" s="1767"/>
      <c r="AZ29" s="1767"/>
      <c r="BA29" s="1767"/>
      <c r="BB29" s="1767"/>
      <c r="BC29" s="1767"/>
      <c r="BD29" s="1767"/>
      <c r="BE29" s="1767"/>
      <c r="BF29" s="1767"/>
      <c r="BG29" s="1767"/>
      <c r="BH29" s="1767"/>
      <c r="BI29" s="1767"/>
      <c r="BJ29" s="1767"/>
      <c r="BK29" s="1767"/>
    </row>
    <row r="30" spans="1:63" ht="22.5" customHeight="1">
      <c r="A30" s="1733"/>
      <c r="B30" s="1729"/>
      <c r="C30" s="1712" t="s">
        <v>1034</v>
      </c>
      <c r="D30" s="1767"/>
      <c r="E30" s="1767"/>
      <c r="F30" s="1767"/>
      <c r="G30" s="1767"/>
      <c r="H30" s="1767"/>
      <c r="I30" s="1767"/>
      <c r="J30" s="1767"/>
      <c r="K30" s="1767"/>
      <c r="L30" s="1767"/>
      <c r="M30" s="1767"/>
      <c r="N30" s="1767"/>
      <c r="O30" s="1767"/>
      <c r="P30" s="1767"/>
      <c r="Q30" s="1767"/>
      <c r="R30" s="1767"/>
      <c r="S30" s="1767"/>
      <c r="T30" s="1767"/>
      <c r="U30" s="1767"/>
      <c r="V30" s="1767"/>
      <c r="W30" s="1767"/>
      <c r="X30" s="1767"/>
      <c r="Y30" s="1767"/>
      <c r="Z30" s="1767"/>
      <c r="AA30" s="1767"/>
      <c r="AB30" s="1767"/>
      <c r="AC30" s="1767"/>
      <c r="AD30" s="1767"/>
      <c r="AE30" s="1767"/>
      <c r="AF30" s="1767"/>
      <c r="AG30" s="1767"/>
      <c r="AH30" s="1767"/>
      <c r="AI30" s="1767"/>
      <c r="AJ30" s="1767"/>
      <c r="AK30" s="1767"/>
      <c r="AL30" s="1767"/>
      <c r="AM30" s="1767"/>
      <c r="AN30" s="1767"/>
      <c r="AO30" s="1767"/>
      <c r="AP30" s="1767"/>
      <c r="AQ30" s="1767"/>
      <c r="AR30" s="1767"/>
      <c r="AS30" s="1767"/>
      <c r="AT30" s="1767"/>
      <c r="AU30" s="1767"/>
      <c r="AV30" s="1767"/>
      <c r="AW30" s="1767"/>
      <c r="AX30" s="1767"/>
      <c r="AY30" s="1767"/>
      <c r="AZ30" s="1767"/>
      <c r="BA30" s="1767"/>
      <c r="BB30" s="1767"/>
      <c r="BC30" s="1767"/>
      <c r="BD30" s="1767"/>
      <c r="BE30" s="1767"/>
      <c r="BF30" s="1767"/>
      <c r="BG30" s="1767"/>
      <c r="BH30" s="1767"/>
      <c r="BI30" s="1767"/>
      <c r="BJ30" s="1767"/>
      <c r="BK30" s="1767"/>
    </row>
    <row r="31" spans="1:63" ht="74.25" customHeight="1">
      <c r="A31" s="1728">
        <v>42</v>
      </c>
      <c r="B31" s="1728"/>
      <c r="C31" s="1740" t="s">
        <v>1045</v>
      </c>
      <c r="D31" s="1767"/>
      <c r="E31" s="1767"/>
      <c r="F31" s="1767"/>
      <c r="G31" s="1767"/>
      <c r="H31" s="1767"/>
      <c r="I31" s="1767"/>
      <c r="J31" s="1767"/>
      <c r="K31" s="1767"/>
      <c r="L31" s="1767"/>
      <c r="M31" s="1767"/>
      <c r="N31" s="1767"/>
      <c r="O31" s="1767"/>
      <c r="P31" s="1767"/>
      <c r="Q31" s="1767"/>
      <c r="R31" s="1767"/>
      <c r="S31" s="1767"/>
      <c r="T31" s="1767"/>
      <c r="U31" s="1767"/>
      <c r="V31" s="1767"/>
      <c r="W31" s="1767"/>
      <c r="X31" s="1767"/>
      <c r="Y31" s="1767"/>
      <c r="Z31" s="1767"/>
      <c r="AA31" s="1767"/>
      <c r="AB31" s="1767"/>
      <c r="AC31" s="1767"/>
      <c r="AD31" s="1767"/>
      <c r="AE31" s="1767"/>
      <c r="AF31" s="1767"/>
      <c r="AG31" s="1767"/>
      <c r="AH31" s="1767"/>
      <c r="AI31" s="1767"/>
      <c r="AJ31" s="1767"/>
      <c r="AK31" s="1767"/>
      <c r="AL31" s="1767"/>
      <c r="AM31" s="1767"/>
      <c r="AN31" s="1767"/>
      <c r="AO31" s="1767"/>
      <c r="AP31" s="1767"/>
      <c r="AQ31" s="1767"/>
      <c r="AR31" s="1767"/>
      <c r="AS31" s="1767"/>
      <c r="AT31" s="1767"/>
      <c r="AU31" s="1767"/>
      <c r="AV31" s="1767"/>
      <c r="AW31" s="1767"/>
      <c r="AX31" s="1767"/>
      <c r="AY31" s="1767"/>
      <c r="AZ31" s="1767"/>
      <c r="BA31" s="1767"/>
      <c r="BB31" s="1767"/>
      <c r="BC31" s="1767"/>
      <c r="BD31" s="1767"/>
      <c r="BE31" s="1767"/>
      <c r="BF31" s="1767"/>
      <c r="BG31" s="1767"/>
      <c r="BH31" s="1767"/>
      <c r="BI31" s="1767"/>
      <c r="BJ31" s="1767"/>
      <c r="BK31" s="1767"/>
    </row>
    <row r="32" spans="1:63" ht="74.25" customHeight="1">
      <c r="A32" s="1733"/>
      <c r="B32" s="1742">
        <v>1</v>
      </c>
      <c r="C32" s="1712" t="s">
        <v>1057</v>
      </c>
      <c r="D32" s="1767"/>
      <c r="E32" s="1767"/>
      <c r="F32" s="1767"/>
      <c r="G32" s="1767"/>
      <c r="H32" s="1767"/>
      <c r="I32" s="1767"/>
      <c r="J32" s="1767"/>
      <c r="K32" s="1767"/>
      <c r="L32" s="1767"/>
      <c r="M32" s="1767"/>
      <c r="N32" s="1767"/>
      <c r="O32" s="1767"/>
      <c r="P32" s="1767"/>
      <c r="Q32" s="1767"/>
      <c r="R32" s="1767"/>
      <c r="S32" s="1767"/>
      <c r="T32" s="1767"/>
      <c r="U32" s="1767"/>
      <c r="V32" s="1767"/>
      <c r="W32" s="1767"/>
      <c r="X32" s="1767"/>
      <c r="Y32" s="1767"/>
      <c r="Z32" s="1767"/>
      <c r="AA32" s="1767"/>
      <c r="AB32" s="1767"/>
      <c r="AC32" s="1767"/>
      <c r="AD32" s="1767"/>
      <c r="AE32" s="1767"/>
      <c r="AF32" s="1767"/>
      <c r="AG32" s="1767"/>
      <c r="AH32" s="1767"/>
      <c r="AI32" s="1767"/>
      <c r="AJ32" s="1767"/>
      <c r="AK32" s="1767"/>
      <c r="AL32" s="1767"/>
      <c r="AM32" s="1767"/>
      <c r="AN32" s="1767"/>
      <c r="AO32" s="1767"/>
      <c r="AP32" s="1767"/>
      <c r="AQ32" s="1767"/>
      <c r="AR32" s="1767"/>
      <c r="AS32" s="1767"/>
      <c r="AT32" s="1767"/>
      <c r="AU32" s="1767"/>
      <c r="AV32" s="1767"/>
      <c r="AW32" s="1767"/>
      <c r="AX32" s="1767"/>
      <c r="AY32" s="1767"/>
      <c r="AZ32" s="1767"/>
      <c r="BA32" s="1767"/>
      <c r="BB32" s="1767"/>
      <c r="BC32" s="1767"/>
      <c r="BD32" s="1767"/>
      <c r="BE32" s="1767"/>
      <c r="BF32" s="1767"/>
      <c r="BG32" s="1767"/>
      <c r="BH32" s="1767"/>
      <c r="BI32" s="1767"/>
      <c r="BJ32" s="1767"/>
      <c r="BK32" s="1767"/>
    </row>
    <row r="33" spans="1:63" ht="43.5" customHeight="1">
      <c r="A33" s="1733"/>
      <c r="B33" s="1733">
        <v>2</v>
      </c>
      <c r="C33" s="1712" t="s">
        <v>1058</v>
      </c>
      <c r="D33" s="1767"/>
      <c r="E33" s="1767"/>
      <c r="F33" s="1767"/>
      <c r="G33" s="1767"/>
      <c r="H33" s="1767"/>
      <c r="I33" s="1767"/>
      <c r="J33" s="1767"/>
      <c r="K33" s="1767"/>
      <c r="L33" s="1767"/>
      <c r="M33" s="1767"/>
      <c r="N33" s="1767"/>
      <c r="O33" s="1767"/>
      <c r="P33" s="1767"/>
      <c r="Q33" s="1767"/>
      <c r="R33" s="1767"/>
      <c r="S33" s="1767"/>
      <c r="T33" s="1767"/>
      <c r="U33" s="1767"/>
      <c r="V33" s="1767"/>
      <c r="W33" s="1767"/>
      <c r="X33" s="1767"/>
      <c r="Y33" s="1767"/>
      <c r="Z33" s="1767"/>
      <c r="AA33" s="1767"/>
      <c r="AB33" s="1767"/>
      <c r="AC33" s="1767"/>
      <c r="AD33" s="1767"/>
      <c r="AE33" s="1767"/>
      <c r="AF33" s="1767"/>
      <c r="AG33" s="1767"/>
      <c r="AH33" s="1767"/>
      <c r="AI33" s="1767"/>
      <c r="AJ33" s="1767"/>
      <c r="AK33" s="1767"/>
      <c r="AL33" s="1767"/>
      <c r="AM33" s="1767"/>
      <c r="AN33" s="1767"/>
      <c r="AO33" s="1767"/>
      <c r="AP33" s="1767"/>
      <c r="AQ33" s="1767"/>
      <c r="AR33" s="1767"/>
      <c r="AS33" s="1767"/>
      <c r="AT33" s="1767"/>
      <c r="AU33" s="1767"/>
      <c r="AV33" s="1767"/>
      <c r="AW33" s="1767"/>
      <c r="AX33" s="1767"/>
      <c r="AY33" s="1767"/>
      <c r="AZ33" s="1767"/>
      <c r="BA33" s="1767"/>
      <c r="BB33" s="1767"/>
      <c r="BC33" s="1767"/>
      <c r="BD33" s="1767"/>
      <c r="BE33" s="1767"/>
      <c r="BF33" s="1767"/>
      <c r="BG33" s="1767"/>
      <c r="BH33" s="1767"/>
      <c r="BI33" s="1767"/>
      <c r="BJ33" s="1767"/>
      <c r="BK33" s="1767"/>
    </row>
    <row r="34" spans="1:63" ht="43.5" customHeight="1">
      <c r="A34" s="1733"/>
      <c r="B34" s="1733"/>
      <c r="C34" s="1741" t="s">
        <v>1059</v>
      </c>
      <c r="D34" s="1767"/>
      <c r="E34" s="1767"/>
      <c r="F34" s="1767"/>
      <c r="G34" s="1767"/>
      <c r="H34" s="1767"/>
      <c r="I34" s="1767"/>
      <c r="J34" s="1767"/>
      <c r="K34" s="1767"/>
      <c r="L34" s="1767"/>
      <c r="M34" s="1767"/>
      <c r="N34" s="1767"/>
      <c r="O34" s="1767"/>
      <c r="P34" s="1767"/>
      <c r="Q34" s="1767"/>
      <c r="R34" s="1767"/>
      <c r="S34" s="1767"/>
      <c r="T34" s="1767"/>
      <c r="U34" s="1767"/>
      <c r="V34" s="1767"/>
      <c r="W34" s="1767"/>
      <c r="X34" s="1767"/>
      <c r="Y34" s="1767"/>
      <c r="Z34" s="1767"/>
      <c r="AA34" s="1767"/>
      <c r="AB34" s="1767"/>
      <c r="AC34" s="1767"/>
      <c r="AD34" s="1767"/>
      <c r="AE34" s="1767"/>
      <c r="AF34" s="1767"/>
      <c r="AG34" s="1767"/>
      <c r="AH34" s="1767"/>
      <c r="AI34" s="1767"/>
      <c r="AJ34" s="1767"/>
      <c r="AK34" s="1767"/>
      <c r="AL34" s="1767"/>
      <c r="AM34" s="1767"/>
      <c r="AN34" s="1767"/>
      <c r="AO34" s="1767"/>
      <c r="AP34" s="1767"/>
      <c r="AQ34" s="1767"/>
      <c r="AR34" s="1767"/>
      <c r="AS34" s="1767"/>
      <c r="AT34" s="1767"/>
      <c r="AU34" s="1767"/>
      <c r="AV34" s="1767"/>
      <c r="AW34" s="1767"/>
      <c r="AX34" s="1767"/>
      <c r="AY34" s="1767"/>
      <c r="AZ34" s="1767"/>
      <c r="BA34" s="1767"/>
      <c r="BB34" s="1767"/>
      <c r="BC34" s="1767"/>
      <c r="BD34" s="1767"/>
      <c r="BE34" s="1767"/>
      <c r="BF34" s="1767"/>
      <c r="BG34" s="1767"/>
      <c r="BH34" s="1767"/>
      <c r="BI34" s="1767"/>
      <c r="BJ34" s="1767"/>
      <c r="BK34" s="1767"/>
    </row>
    <row r="35" spans="1:63" ht="43.5" customHeight="1">
      <c r="A35" s="1733"/>
      <c r="B35" s="1733"/>
      <c r="C35" s="1712" t="s">
        <v>1037</v>
      </c>
      <c r="D35" s="1767"/>
      <c r="E35" s="1767"/>
      <c r="F35" s="1767"/>
      <c r="G35" s="1767"/>
      <c r="H35" s="1767"/>
      <c r="I35" s="1767"/>
      <c r="J35" s="1767"/>
      <c r="K35" s="1767"/>
      <c r="L35" s="1767"/>
      <c r="M35" s="1767"/>
      <c r="N35" s="1767"/>
      <c r="O35" s="1767"/>
      <c r="P35" s="1767"/>
      <c r="Q35" s="1767"/>
      <c r="R35" s="1767"/>
      <c r="S35" s="1767"/>
      <c r="T35" s="1767"/>
      <c r="U35" s="1767"/>
      <c r="V35" s="1767"/>
      <c r="W35" s="1767"/>
      <c r="X35" s="1767"/>
      <c r="Y35" s="1767"/>
      <c r="Z35" s="1767"/>
      <c r="AA35" s="1767"/>
      <c r="AB35" s="1767"/>
      <c r="AC35" s="1767"/>
      <c r="AD35" s="1767"/>
      <c r="AE35" s="1767"/>
      <c r="AF35" s="1767"/>
      <c r="AG35" s="1767"/>
      <c r="AH35" s="1767"/>
      <c r="AI35" s="1767"/>
      <c r="AJ35" s="1767"/>
      <c r="AK35" s="1767"/>
      <c r="AL35" s="1767"/>
      <c r="AM35" s="1767"/>
      <c r="AN35" s="1767"/>
      <c r="AO35" s="1767"/>
      <c r="AP35" s="1767"/>
      <c r="AQ35" s="1767"/>
      <c r="AR35" s="1767"/>
      <c r="AS35" s="1767"/>
      <c r="AT35" s="1767"/>
      <c r="AU35" s="1767"/>
      <c r="AV35" s="1767"/>
      <c r="AW35" s="1767"/>
      <c r="AX35" s="1767"/>
      <c r="AY35" s="1767"/>
      <c r="AZ35" s="1767"/>
      <c r="BA35" s="1767"/>
      <c r="BB35" s="1767"/>
      <c r="BC35" s="1767"/>
      <c r="BD35" s="1767"/>
      <c r="BE35" s="1767"/>
      <c r="BF35" s="1767"/>
      <c r="BG35" s="1767"/>
      <c r="BH35" s="1767"/>
      <c r="BI35" s="1767"/>
      <c r="BJ35" s="1767"/>
      <c r="BK35" s="1767"/>
    </row>
    <row r="36" spans="1:63" ht="81.75" customHeight="1">
      <c r="A36" s="1749"/>
      <c r="B36" s="1752">
        <v>3</v>
      </c>
      <c r="C36" s="1712" t="s">
        <v>1061</v>
      </c>
      <c r="D36" s="1767"/>
      <c r="E36" s="1767"/>
      <c r="F36" s="1767"/>
      <c r="G36" s="1767"/>
      <c r="H36" s="1767"/>
      <c r="I36" s="1767"/>
      <c r="J36" s="1767"/>
      <c r="K36" s="1767"/>
      <c r="L36" s="1767"/>
      <c r="M36" s="1767"/>
      <c r="N36" s="1767"/>
      <c r="O36" s="1767"/>
      <c r="P36" s="1767"/>
      <c r="Q36" s="1767"/>
      <c r="R36" s="1767"/>
      <c r="S36" s="1767"/>
      <c r="T36" s="1767"/>
      <c r="U36" s="1767"/>
      <c r="V36" s="1767"/>
      <c r="W36" s="1767"/>
      <c r="X36" s="1767"/>
      <c r="Y36" s="1767"/>
      <c r="Z36" s="1767"/>
      <c r="AA36" s="1767"/>
      <c r="AB36" s="1767"/>
      <c r="AC36" s="1767"/>
      <c r="AD36" s="1767"/>
      <c r="AE36" s="1767"/>
      <c r="AF36" s="1767"/>
      <c r="AG36" s="1767"/>
      <c r="AH36" s="1767"/>
      <c r="AI36" s="1767"/>
      <c r="AJ36" s="1767"/>
      <c r="AK36" s="1767"/>
      <c r="AL36" s="1767"/>
      <c r="AM36" s="1767"/>
      <c r="AN36" s="1767"/>
      <c r="AO36" s="1767"/>
      <c r="AP36" s="1767"/>
      <c r="AQ36" s="1767"/>
      <c r="AR36" s="1767"/>
      <c r="AS36" s="1767"/>
      <c r="AT36" s="1767"/>
      <c r="AU36" s="1767"/>
      <c r="AV36" s="1767"/>
      <c r="AW36" s="1767"/>
      <c r="AX36" s="1767"/>
      <c r="AY36" s="1767"/>
      <c r="AZ36" s="1767"/>
      <c r="BA36" s="1767"/>
      <c r="BB36" s="1767"/>
      <c r="BC36" s="1767"/>
      <c r="BD36" s="1767"/>
      <c r="BE36" s="1767"/>
      <c r="BF36" s="1767"/>
      <c r="BG36" s="1767"/>
      <c r="BH36" s="1767"/>
      <c r="BI36" s="1767"/>
      <c r="BJ36" s="1767"/>
      <c r="BK36" s="1767"/>
    </row>
    <row r="37" spans="1:63" ht="43.5" customHeight="1">
      <c r="A37" s="1735">
        <v>47</v>
      </c>
      <c r="B37" s="1735"/>
      <c r="C37" s="1740" t="s">
        <v>1060</v>
      </c>
      <c r="D37" s="1767"/>
      <c r="E37" s="1767"/>
      <c r="F37" s="1767"/>
      <c r="G37" s="1767"/>
      <c r="H37" s="1767"/>
      <c r="I37" s="1767"/>
      <c r="J37" s="1767"/>
      <c r="K37" s="1767"/>
      <c r="L37" s="1767"/>
      <c r="M37" s="1767"/>
      <c r="N37" s="1767"/>
      <c r="O37" s="1767"/>
      <c r="P37" s="1767"/>
      <c r="Q37" s="1767"/>
      <c r="R37" s="1767"/>
      <c r="S37" s="1767"/>
      <c r="T37" s="1767"/>
      <c r="U37" s="1767"/>
      <c r="V37" s="1767"/>
      <c r="W37" s="1767"/>
      <c r="X37" s="1767"/>
      <c r="Y37" s="1767"/>
      <c r="Z37" s="1767"/>
      <c r="AA37" s="1767"/>
      <c r="AB37" s="1767"/>
      <c r="AC37" s="1767"/>
      <c r="AD37" s="1767"/>
      <c r="AE37" s="1767"/>
      <c r="AF37" s="1767"/>
      <c r="AG37" s="1767"/>
      <c r="AH37" s="1767"/>
      <c r="AI37" s="1767"/>
      <c r="AJ37" s="1767"/>
      <c r="AK37" s="1767"/>
      <c r="AL37" s="1767"/>
      <c r="AM37" s="1767"/>
      <c r="AN37" s="1767"/>
      <c r="AO37" s="1767"/>
      <c r="AP37" s="1767"/>
      <c r="AQ37" s="1767"/>
      <c r="AR37" s="1767"/>
      <c r="AS37" s="1767"/>
      <c r="AT37" s="1767"/>
      <c r="AU37" s="1767"/>
      <c r="AV37" s="1767"/>
      <c r="AW37" s="1767"/>
      <c r="AX37" s="1767"/>
      <c r="AY37" s="1767"/>
      <c r="AZ37" s="1767"/>
      <c r="BA37" s="1767"/>
      <c r="BB37" s="1767"/>
      <c r="BC37" s="1767"/>
      <c r="BD37" s="1767"/>
      <c r="BE37" s="1767"/>
      <c r="BF37" s="1767"/>
      <c r="BG37" s="1767"/>
      <c r="BH37" s="1767"/>
      <c r="BI37" s="1767"/>
      <c r="BJ37" s="1767"/>
      <c r="BK37" s="1767"/>
    </row>
    <row r="38" spans="1:63" ht="54.75" customHeight="1">
      <c r="A38" s="1733"/>
      <c r="B38" s="1732">
        <v>1</v>
      </c>
      <c r="C38" s="1736" t="s">
        <v>1088</v>
      </c>
      <c r="D38" s="1767"/>
      <c r="E38" s="1767"/>
      <c r="F38" s="1767"/>
      <c r="G38" s="1767"/>
      <c r="H38" s="1767"/>
      <c r="I38" s="1767"/>
      <c r="J38" s="1767"/>
      <c r="K38" s="1767"/>
      <c r="L38" s="1767"/>
      <c r="M38" s="1767"/>
      <c r="N38" s="1767"/>
      <c r="O38" s="1767"/>
      <c r="P38" s="1767"/>
      <c r="Q38" s="1767"/>
      <c r="R38" s="1767"/>
      <c r="S38" s="1767"/>
      <c r="T38" s="1767"/>
      <c r="U38" s="1767"/>
      <c r="V38" s="1767"/>
      <c r="W38" s="1767"/>
      <c r="X38" s="1767"/>
      <c r="Y38" s="1767"/>
      <c r="Z38" s="1767"/>
      <c r="AA38" s="1767"/>
      <c r="AB38" s="1767"/>
      <c r="AC38" s="1767"/>
      <c r="AD38" s="1767"/>
      <c r="AE38" s="1767"/>
      <c r="AF38" s="1767"/>
      <c r="AG38" s="1767"/>
      <c r="AH38" s="1767"/>
      <c r="AI38" s="1767"/>
      <c r="AJ38" s="1767"/>
      <c r="AK38" s="1767"/>
      <c r="AL38" s="1767"/>
      <c r="AM38" s="1767"/>
      <c r="AN38" s="1767"/>
      <c r="AO38" s="1767"/>
      <c r="AP38" s="1767"/>
      <c r="AQ38" s="1767"/>
      <c r="AR38" s="1767"/>
      <c r="AS38" s="1767"/>
      <c r="AT38" s="1767"/>
      <c r="AU38" s="1767"/>
      <c r="AV38" s="1767"/>
      <c r="AW38" s="1767"/>
      <c r="AX38" s="1767"/>
      <c r="AY38" s="1767"/>
      <c r="AZ38" s="1767"/>
      <c r="BA38" s="1767"/>
      <c r="BB38" s="1767"/>
      <c r="BC38" s="1767"/>
      <c r="BD38" s="1767"/>
      <c r="BE38" s="1767"/>
      <c r="BF38" s="1767"/>
      <c r="BG38" s="1767"/>
      <c r="BH38" s="1767"/>
      <c r="BI38" s="1767"/>
      <c r="BJ38" s="1767"/>
      <c r="BK38" s="1767"/>
    </row>
    <row r="39" spans="1:63" ht="22.5" customHeight="1">
      <c r="A39" s="1733"/>
      <c r="B39" s="1732"/>
      <c r="C39" s="1718" t="s">
        <v>1039</v>
      </c>
      <c r="D39" s="1767"/>
      <c r="E39" s="1767"/>
      <c r="F39" s="1767"/>
      <c r="G39" s="1767"/>
      <c r="H39" s="1767"/>
      <c r="I39" s="1767"/>
      <c r="J39" s="1767"/>
      <c r="K39" s="1767"/>
      <c r="L39" s="1767"/>
      <c r="M39" s="1767"/>
      <c r="N39" s="1767"/>
      <c r="O39" s="1767"/>
      <c r="P39" s="1767"/>
      <c r="Q39" s="1767"/>
      <c r="R39" s="1767"/>
      <c r="S39" s="1767"/>
      <c r="T39" s="1767"/>
      <c r="U39" s="1767"/>
      <c r="V39" s="1767"/>
      <c r="W39" s="1767"/>
      <c r="X39" s="1767"/>
      <c r="Y39" s="1767"/>
      <c r="Z39" s="1767"/>
      <c r="AA39" s="1767"/>
      <c r="AB39" s="1767"/>
      <c r="AC39" s="1767"/>
      <c r="AD39" s="1767"/>
      <c r="AE39" s="1767"/>
      <c r="AF39" s="1767"/>
      <c r="AG39" s="1767"/>
      <c r="AH39" s="1767"/>
      <c r="AI39" s="1767"/>
      <c r="AJ39" s="1767"/>
      <c r="AK39" s="1767"/>
      <c r="AL39" s="1767"/>
      <c r="AM39" s="1767"/>
      <c r="AN39" s="1767"/>
      <c r="AO39" s="1767"/>
      <c r="AP39" s="1767"/>
      <c r="AQ39" s="1767"/>
      <c r="AR39" s="1767"/>
      <c r="AS39" s="1767"/>
      <c r="AT39" s="1767"/>
      <c r="AU39" s="1767"/>
      <c r="AV39" s="1767"/>
      <c r="AW39" s="1767"/>
      <c r="AX39" s="1767"/>
      <c r="AY39" s="1767"/>
      <c r="AZ39" s="1767"/>
      <c r="BA39" s="1767"/>
      <c r="BB39" s="1767"/>
      <c r="BC39" s="1767"/>
      <c r="BD39" s="1767"/>
      <c r="BE39" s="1767"/>
      <c r="BF39" s="1767"/>
      <c r="BG39" s="1767"/>
      <c r="BH39" s="1767"/>
      <c r="BI39" s="1767"/>
      <c r="BJ39" s="1767"/>
      <c r="BK39" s="1767"/>
    </row>
    <row r="40" spans="1:63" ht="22.5" customHeight="1">
      <c r="A40" s="1733"/>
      <c r="B40" s="1732"/>
      <c r="C40" s="1718" t="s">
        <v>1033</v>
      </c>
      <c r="D40" s="1767"/>
      <c r="E40" s="1767"/>
      <c r="F40" s="1767"/>
      <c r="G40" s="1767"/>
      <c r="H40" s="1767"/>
      <c r="I40" s="1767"/>
      <c r="J40" s="1767"/>
      <c r="K40" s="1767"/>
      <c r="L40" s="1767"/>
      <c r="M40" s="1767"/>
      <c r="N40" s="1767"/>
      <c r="O40" s="1767"/>
      <c r="P40" s="1767"/>
      <c r="Q40" s="1767"/>
      <c r="R40" s="1767"/>
      <c r="S40" s="1767"/>
      <c r="T40" s="1767"/>
      <c r="U40" s="1767"/>
      <c r="V40" s="1767"/>
      <c r="W40" s="1767"/>
      <c r="X40" s="1767"/>
      <c r="Y40" s="1767"/>
      <c r="Z40" s="1767"/>
      <c r="AA40" s="1767"/>
      <c r="AB40" s="1767"/>
      <c r="AC40" s="1767"/>
      <c r="AD40" s="1767"/>
      <c r="AE40" s="1767"/>
      <c r="AF40" s="1767"/>
      <c r="AG40" s="1767"/>
      <c r="AH40" s="1767"/>
      <c r="AI40" s="1767"/>
      <c r="AJ40" s="1767"/>
      <c r="AK40" s="1767"/>
      <c r="AL40" s="1767"/>
      <c r="AM40" s="1767"/>
      <c r="AN40" s="1767"/>
      <c r="AO40" s="1767"/>
      <c r="AP40" s="1767"/>
      <c r="AQ40" s="1767"/>
      <c r="AR40" s="1767"/>
      <c r="AS40" s="1767"/>
      <c r="AT40" s="1767"/>
      <c r="AU40" s="1767"/>
      <c r="AV40" s="1767"/>
      <c r="AW40" s="1767"/>
      <c r="AX40" s="1767"/>
      <c r="AY40" s="1767"/>
      <c r="AZ40" s="1767"/>
      <c r="BA40" s="1767"/>
      <c r="BB40" s="1767"/>
      <c r="BC40" s="1767"/>
      <c r="BD40" s="1767"/>
      <c r="BE40" s="1767"/>
      <c r="BF40" s="1767"/>
      <c r="BG40" s="1767"/>
      <c r="BH40" s="1767"/>
      <c r="BI40" s="1767"/>
      <c r="BJ40" s="1767"/>
      <c r="BK40" s="1767"/>
    </row>
    <row r="41" spans="1:63" ht="22.5" customHeight="1">
      <c r="A41" s="1733"/>
      <c r="B41" s="1732"/>
      <c r="C41" s="1718" t="s">
        <v>1036</v>
      </c>
      <c r="D41" s="1767"/>
      <c r="E41" s="1767"/>
      <c r="F41" s="1767"/>
      <c r="G41" s="1767"/>
      <c r="H41" s="1767"/>
      <c r="I41" s="1767"/>
      <c r="J41" s="1767"/>
      <c r="K41" s="1767"/>
      <c r="L41" s="1767"/>
      <c r="M41" s="1767"/>
      <c r="N41" s="1767"/>
      <c r="O41" s="1767"/>
      <c r="P41" s="1767"/>
      <c r="Q41" s="1767"/>
      <c r="R41" s="1767"/>
      <c r="S41" s="1767"/>
      <c r="T41" s="1767"/>
      <c r="U41" s="1767"/>
      <c r="V41" s="1767"/>
      <c r="W41" s="1767"/>
      <c r="X41" s="1767"/>
      <c r="Y41" s="1767"/>
      <c r="Z41" s="1767"/>
      <c r="AA41" s="1767"/>
      <c r="AB41" s="1767"/>
      <c r="AC41" s="1767"/>
      <c r="AD41" s="1767"/>
      <c r="AE41" s="1767"/>
      <c r="AF41" s="1767"/>
      <c r="AG41" s="1767"/>
      <c r="AH41" s="1767"/>
      <c r="AI41" s="1767"/>
      <c r="AJ41" s="1767"/>
      <c r="AK41" s="1767"/>
      <c r="AL41" s="1767"/>
      <c r="AM41" s="1767"/>
      <c r="AN41" s="1767"/>
      <c r="AO41" s="1767"/>
      <c r="AP41" s="1767"/>
      <c r="AQ41" s="1767"/>
      <c r="AR41" s="1767"/>
      <c r="AS41" s="1767"/>
      <c r="AT41" s="1767"/>
      <c r="AU41" s="1767"/>
      <c r="AV41" s="1767"/>
      <c r="AW41" s="1767"/>
      <c r="AX41" s="1767"/>
      <c r="AY41" s="1767"/>
      <c r="AZ41" s="1767"/>
      <c r="BA41" s="1767"/>
      <c r="BB41" s="1767"/>
      <c r="BC41" s="1767"/>
      <c r="BD41" s="1767"/>
      <c r="BE41" s="1767"/>
      <c r="BF41" s="1767"/>
      <c r="BG41" s="1767"/>
      <c r="BH41" s="1767"/>
      <c r="BI41" s="1767"/>
      <c r="BJ41" s="1767"/>
      <c r="BK41" s="1767"/>
    </row>
    <row r="42" spans="1:63" ht="68.25" customHeight="1">
      <c r="A42" s="1733"/>
      <c r="B42" s="1732">
        <v>2</v>
      </c>
      <c r="C42" s="1736" t="s">
        <v>1089</v>
      </c>
      <c r="D42" s="1767"/>
      <c r="E42" s="1767"/>
      <c r="F42" s="1767"/>
      <c r="G42" s="1767"/>
      <c r="H42" s="1767"/>
      <c r="I42" s="1767"/>
      <c r="J42" s="1767"/>
      <c r="K42" s="1767"/>
      <c r="L42" s="1767"/>
      <c r="M42" s="1767"/>
      <c r="N42" s="1767"/>
      <c r="O42" s="1767"/>
      <c r="P42" s="1767"/>
      <c r="Q42" s="1767"/>
      <c r="R42" s="1767"/>
      <c r="S42" s="1767"/>
      <c r="T42" s="1767"/>
      <c r="U42" s="1767"/>
      <c r="V42" s="1767"/>
      <c r="W42" s="1767"/>
      <c r="X42" s="1767"/>
      <c r="Y42" s="1767"/>
      <c r="Z42" s="1767"/>
      <c r="AA42" s="1767"/>
      <c r="AB42" s="1767"/>
      <c r="AC42" s="1767"/>
      <c r="AD42" s="1767"/>
      <c r="AE42" s="1767"/>
      <c r="AF42" s="1767"/>
      <c r="AG42" s="1767"/>
      <c r="AH42" s="1767"/>
      <c r="AI42" s="1767"/>
      <c r="AJ42" s="1767"/>
      <c r="AK42" s="1767"/>
      <c r="AL42" s="1767"/>
      <c r="AM42" s="1767"/>
      <c r="AN42" s="1767"/>
      <c r="AO42" s="1767"/>
      <c r="AP42" s="1767"/>
      <c r="AQ42" s="1767"/>
      <c r="AR42" s="1767"/>
      <c r="AS42" s="1767"/>
      <c r="AT42" s="1767"/>
      <c r="AU42" s="1767"/>
      <c r="AV42" s="1767"/>
      <c r="AW42" s="1767"/>
      <c r="AX42" s="1767"/>
      <c r="AY42" s="1767"/>
      <c r="AZ42" s="1767"/>
      <c r="BA42" s="1767"/>
      <c r="BB42" s="1767"/>
      <c r="BC42" s="1767"/>
      <c r="BD42" s="1767"/>
      <c r="BE42" s="1767"/>
      <c r="BF42" s="1767"/>
      <c r="BG42" s="1767"/>
      <c r="BH42" s="1767"/>
      <c r="BI42" s="1767"/>
      <c r="BJ42" s="1767"/>
      <c r="BK42" s="1767"/>
    </row>
    <row r="43" spans="1:63" ht="22.5" customHeight="1">
      <c r="A43" s="1733"/>
      <c r="B43" s="1732"/>
      <c r="C43" s="1718" t="s">
        <v>1039</v>
      </c>
      <c r="D43" s="1767"/>
      <c r="E43" s="1767"/>
      <c r="F43" s="1767"/>
      <c r="G43" s="1767"/>
      <c r="H43" s="1767"/>
      <c r="I43" s="1767"/>
      <c r="J43" s="1767"/>
      <c r="K43" s="1767"/>
      <c r="L43" s="1767"/>
      <c r="M43" s="1767"/>
      <c r="N43" s="1767"/>
      <c r="O43" s="1767"/>
      <c r="P43" s="1767"/>
      <c r="Q43" s="1767"/>
      <c r="R43" s="1767"/>
      <c r="S43" s="1767"/>
      <c r="T43" s="1767"/>
      <c r="U43" s="1767"/>
      <c r="V43" s="1767"/>
      <c r="W43" s="1767"/>
      <c r="X43" s="1767"/>
      <c r="Y43" s="1767"/>
      <c r="Z43" s="1767"/>
      <c r="AA43" s="1767"/>
      <c r="AB43" s="1767"/>
      <c r="AC43" s="1767"/>
      <c r="AD43" s="1767"/>
      <c r="AE43" s="1767"/>
      <c r="AF43" s="1767"/>
      <c r="AG43" s="1767"/>
      <c r="AH43" s="1767"/>
      <c r="AI43" s="1767"/>
      <c r="AJ43" s="1767"/>
      <c r="AK43" s="1767"/>
      <c r="AL43" s="1767"/>
      <c r="AM43" s="1767"/>
      <c r="AN43" s="1767"/>
      <c r="AO43" s="1767"/>
      <c r="AP43" s="1767"/>
      <c r="AQ43" s="1767"/>
      <c r="AR43" s="1767"/>
      <c r="AS43" s="1767"/>
      <c r="AT43" s="1767"/>
      <c r="AU43" s="1767"/>
      <c r="AV43" s="1767"/>
      <c r="AW43" s="1767"/>
      <c r="AX43" s="1767"/>
      <c r="AY43" s="1767"/>
      <c r="AZ43" s="1767"/>
      <c r="BA43" s="1767"/>
      <c r="BB43" s="1767"/>
      <c r="BC43" s="1767"/>
      <c r="BD43" s="1767"/>
      <c r="BE43" s="1767"/>
      <c r="BF43" s="1767"/>
      <c r="BG43" s="1767"/>
      <c r="BH43" s="1767"/>
      <c r="BI43" s="1767"/>
      <c r="BJ43" s="1767"/>
      <c r="BK43" s="1767"/>
    </row>
    <row r="44" spans="1:63" ht="22.5" customHeight="1">
      <c r="A44" s="1733"/>
      <c r="B44" s="1732"/>
      <c r="C44" s="1718" t="s">
        <v>1033</v>
      </c>
      <c r="D44" s="1767"/>
      <c r="E44" s="1767"/>
      <c r="F44" s="1767"/>
      <c r="G44" s="1767"/>
      <c r="H44" s="1767"/>
      <c r="I44" s="1767"/>
      <c r="J44" s="1767"/>
      <c r="K44" s="1767"/>
      <c r="L44" s="1767"/>
      <c r="M44" s="1767"/>
      <c r="N44" s="1767"/>
      <c r="O44" s="1767"/>
      <c r="P44" s="1767"/>
      <c r="Q44" s="1767"/>
      <c r="R44" s="1767"/>
      <c r="S44" s="1767"/>
      <c r="T44" s="1767"/>
      <c r="U44" s="1767"/>
      <c r="V44" s="1767"/>
      <c r="W44" s="1767"/>
      <c r="X44" s="1767"/>
      <c r="Y44" s="1767"/>
      <c r="Z44" s="1767"/>
      <c r="AA44" s="1767"/>
      <c r="AB44" s="1767"/>
      <c r="AC44" s="1767"/>
      <c r="AD44" s="1767"/>
      <c r="AE44" s="1767"/>
      <c r="AF44" s="1767"/>
      <c r="AG44" s="1767"/>
      <c r="AH44" s="1767"/>
      <c r="AI44" s="1767"/>
      <c r="AJ44" s="1767"/>
      <c r="AK44" s="1767"/>
      <c r="AL44" s="1767"/>
      <c r="AM44" s="1767"/>
      <c r="AN44" s="1767"/>
      <c r="AO44" s="1767"/>
      <c r="AP44" s="1767"/>
      <c r="AQ44" s="1767"/>
      <c r="AR44" s="1767"/>
      <c r="AS44" s="1767"/>
      <c r="AT44" s="1767"/>
      <c r="AU44" s="1767"/>
      <c r="AV44" s="1767"/>
      <c r="AW44" s="1767"/>
      <c r="AX44" s="1767"/>
      <c r="AY44" s="1767"/>
      <c r="AZ44" s="1767"/>
      <c r="BA44" s="1767"/>
      <c r="BB44" s="1767"/>
      <c r="BC44" s="1767"/>
      <c r="BD44" s="1767"/>
      <c r="BE44" s="1767"/>
      <c r="BF44" s="1767"/>
      <c r="BG44" s="1767"/>
      <c r="BH44" s="1767"/>
      <c r="BI44" s="1767"/>
      <c r="BJ44" s="1767"/>
      <c r="BK44" s="1767"/>
    </row>
    <row r="45" spans="1:63" ht="22.5" customHeight="1">
      <c r="A45" s="1733"/>
      <c r="B45" s="1732"/>
      <c r="C45" s="1718" t="s">
        <v>1040</v>
      </c>
      <c r="D45" s="1767"/>
      <c r="E45" s="1767"/>
      <c r="F45" s="1767"/>
      <c r="G45" s="1767"/>
      <c r="H45" s="1767"/>
      <c r="I45" s="1767"/>
      <c r="J45" s="1767"/>
      <c r="K45" s="1767"/>
      <c r="L45" s="1767"/>
      <c r="M45" s="1767"/>
      <c r="N45" s="1767"/>
      <c r="O45" s="1767"/>
      <c r="P45" s="1767"/>
      <c r="Q45" s="1767"/>
      <c r="R45" s="1767"/>
      <c r="S45" s="1767"/>
      <c r="T45" s="1767"/>
      <c r="U45" s="1767"/>
      <c r="V45" s="1767"/>
      <c r="W45" s="1767"/>
      <c r="X45" s="1767"/>
      <c r="Y45" s="1767"/>
      <c r="Z45" s="1767"/>
      <c r="AA45" s="1767"/>
      <c r="AB45" s="1767"/>
      <c r="AC45" s="1767"/>
      <c r="AD45" s="1767"/>
      <c r="AE45" s="1767"/>
      <c r="AF45" s="1767"/>
      <c r="AG45" s="1767"/>
      <c r="AH45" s="1767"/>
      <c r="AI45" s="1767"/>
      <c r="AJ45" s="1767"/>
      <c r="AK45" s="1767"/>
      <c r="AL45" s="1767"/>
      <c r="AM45" s="1767"/>
      <c r="AN45" s="1767"/>
      <c r="AO45" s="1767"/>
      <c r="AP45" s="1767"/>
      <c r="AQ45" s="1767"/>
      <c r="AR45" s="1767"/>
      <c r="AS45" s="1767"/>
      <c r="AT45" s="1767"/>
      <c r="AU45" s="1767"/>
      <c r="AV45" s="1767"/>
      <c r="AW45" s="1767"/>
      <c r="AX45" s="1767"/>
      <c r="AY45" s="1767"/>
      <c r="AZ45" s="1767"/>
      <c r="BA45" s="1767"/>
      <c r="BB45" s="1767"/>
      <c r="BC45" s="1767"/>
      <c r="BD45" s="1767"/>
      <c r="BE45" s="1767"/>
      <c r="BF45" s="1767"/>
      <c r="BG45" s="1767"/>
      <c r="BH45" s="1767"/>
      <c r="BI45" s="1767"/>
      <c r="BJ45" s="1767"/>
      <c r="BK45" s="1767"/>
    </row>
    <row r="46" spans="1:63" ht="22.5" customHeight="1">
      <c r="A46" s="1733"/>
      <c r="B46" s="1732"/>
      <c r="C46" s="1718" t="s">
        <v>1041</v>
      </c>
      <c r="D46" s="1767"/>
      <c r="E46" s="1767"/>
      <c r="F46" s="1767"/>
      <c r="G46" s="1767"/>
      <c r="H46" s="1767"/>
      <c r="I46" s="1767"/>
      <c r="J46" s="1767"/>
      <c r="K46" s="1767"/>
      <c r="L46" s="1767"/>
      <c r="M46" s="1767"/>
      <c r="N46" s="1767"/>
      <c r="O46" s="1767"/>
      <c r="P46" s="1767"/>
      <c r="Q46" s="1767"/>
      <c r="R46" s="1767"/>
      <c r="S46" s="1767"/>
      <c r="T46" s="1767"/>
      <c r="U46" s="1767"/>
      <c r="V46" s="1767"/>
      <c r="W46" s="1767"/>
      <c r="X46" s="1767"/>
      <c r="Y46" s="1767"/>
      <c r="Z46" s="1767"/>
      <c r="AA46" s="1767"/>
      <c r="AB46" s="1767"/>
      <c r="AC46" s="1767"/>
      <c r="AD46" s="1767"/>
      <c r="AE46" s="1767"/>
      <c r="AF46" s="1767"/>
      <c r="AG46" s="1767"/>
      <c r="AH46" s="1767"/>
      <c r="AI46" s="1767"/>
      <c r="AJ46" s="1767"/>
      <c r="AK46" s="1767"/>
      <c r="AL46" s="1767"/>
      <c r="AM46" s="1767"/>
      <c r="AN46" s="1767"/>
      <c r="AO46" s="1767"/>
      <c r="AP46" s="1767"/>
      <c r="AQ46" s="1767"/>
      <c r="AR46" s="1767"/>
      <c r="AS46" s="1767"/>
      <c r="AT46" s="1767"/>
      <c r="AU46" s="1767"/>
      <c r="AV46" s="1767"/>
      <c r="AW46" s="1767"/>
      <c r="AX46" s="1767"/>
      <c r="AY46" s="1767"/>
      <c r="AZ46" s="1767"/>
      <c r="BA46" s="1767"/>
      <c r="BB46" s="1767"/>
      <c r="BC46" s="1767"/>
      <c r="BD46" s="1767"/>
      <c r="BE46" s="1767"/>
      <c r="BF46" s="1767"/>
      <c r="BG46" s="1767"/>
      <c r="BH46" s="1767"/>
      <c r="BI46" s="1767"/>
      <c r="BJ46" s="1767"/>
      <c r="BK46" s="1767"/>
    </row>
    <row r="47" spans="1:63" ht="22.5" customHeight="1">
      <c r="A47" s="1733"/>
      <c r="B47" s="1732"/>
      <c r="C47" s="1718" t="s">
        <v>1047</v>
      </c>
      <c r="D47" s="1768"/>
      <c r="E47" s="1768"/>
      <c r="F47" s="1768"/>
      <c r="G47" s="1768"/>
      <c r="H47" s="1768"/>
      <c r="I47" s="1768"/>
      <c r="J47" s="1768"/>
      <c r="K47" s="1768"/>
      <c r="L47" s="1768"/>
      <c r="M47" s="1768"/>
      <c r="N47" s="1768"/>
      <c r="O47" s="1768"/>
      <c r="P47" s="1768"/>
      <c r="Q47" s="1768"/>
      <c r="R47" s="1768"/>
      <c r="S47" s="1768"/>
      <c r="T47" s="1768"/>
      <c r="U47" s="1768"/>
      <c r="V47" s="1768"/>
      <c r="W47" s="1768"/>
      <c r="X47" s="1768"/>
      <c r="Y47" s="1768"/>
      <c r="Z47" s="1768"/>
      <c r="AA47" s="1768"/>
      <c r="AB47" s="1768"/>
      <c r="AC47" s="1768"/>
      <c r="AD47" s="1768"/>
      <c r="AE47" s="1768"/>
      <c r="AF47" s="1768"/>
      <c r="AG47" s="1768"/>
      <c r="AH47" s="1768"/>
      <c r="AI47" s="1768"/>
      <c r="AJ47" s="1768"/>
      <c r="AK47" s="1768"/>
      <c r="AL47" s="1768"/>
      <c r="AM47" s="1768"/>
      <c r="AN47" s="1768"/>
      <c r="AO47" s="1768"/>
      <c r="AP47" s="1768"/>
      <c r="AQ47" s="1768"/>
      <c r="AR47" s="1768"/>
      <c r="AS47" s="1768"/>
      <c r="AT47" s="1768"/>
      <c r="AU47" s="1768"/>
      <c r="AV47" s="1768"/>
      <c r="AW47" s="1768"/>
      <c r="AX47" s="1768"/>
      <c r="AY47" s="1768"/>
      <c r="AZ47" s="1768"/>
      <c r="BA47" s="1768"/>
      <c r="BB47" s="1768"/>
      <c r="BC47" s="1768"/>
      <c r="BD47" s="1768"/>
      <c r="BE47" s="1768"/>
      <c r="BF47" s="1768"/>
      <c r="BG47" s="1768"/>
      <c r="BH47" s="1768"/>
      <c r="BI47" s="1768"/>
      <c r="BJ47" s="1768"/>
      <c r="BK47" s="1768"/>
    </row>
    <row r="48" spans="1:63" ht="45.75" customHeight="1">
      <c r="A48" s="1733"/>
      <c r="B48" s="1732">
        <v>3</v>
      </c>
      <c r="C48" s="1736" t="s">
        <v>1090</v>
      </c>
      <c r="D48" s="1768"/>
      <c r="E48" s="1768"/>
      <c r="F48" s="1768"/>
      <c r="G48" s="1768"/>
      <c r="H48" s="1768"/>
      <c r="I48" s="1768"/>
      <c r="J48" s="1768"/>
      <c r="K48" s="1768"/>
      <c r="L48" s="1768"/>
      <c r="M48" s="1768"/>
      <c r="N48" s="1768"/>
      <c r="O48" s="1768"/>
      <c r="P48" s="1768"/>
      <c r="Q48" s="1768"/>
      <c r="R48" s="1768"/>
      <c r="S48" s="1768"/>
      <c r="T48" s="1768"/>
      <c r="U48" s="1768"/>
      <c r="V48" s="1768"/>
      <c r="W48" s="1768"/>
      <c r="X48" s="1768"/>
      <c r="Y48" s="1768"/>
      <c r="Z48" s="1768"/>
      <c r="AA48" s="1768"/>
      <c r="AB48" s="1768"/>
      <c r="AC48" s="1768"/>
      <c r="AD48" s="1768"/>
      <c r="AE48" s="1768"/>
      <c r="AF48" s="1768"/>
      <c r="AG48" s="1768"/>
      <c r="AH48" s="1768"/>
      <c r="AI48" s="1768"/>
      <c r="AJ48" s="1768"/>
      <c r="AK48" s="1768"/>
      <c r="AL48" s="1768"/>
      <c r="AM48" s="1768"/>
      <c r="AN48" s="1768"/>
      <c r="AO48" s="1768"/>
      <c r="AP48" s="1768"/>
      <c r="AQ48" s="1768"/>
      <c r="AR48" s="1768"/>
      <c r="AS48" s="1768"/>
      <c r="AT48" s="1768"/>
      <c r="AU48" s="1768"/>
      <c r="AV48" s="1768"/>
      <c r="AW48" s="1768"/>
      <c r="AX48" s="1768"/>
      <c r="AY48" s="1768"/>
      <c r="AZ48" s="1768"/>
      <c r="BA48" s="1768"/>
      <c r="BB48" s="1768"/>
      <c r="BC48" s="1768"/>
      <c r="BD48" s="1768"/>
      <c r="BE48" s="1768"/>
      <c r="BF48" s="1768"/>
      <c r="BG48" s="1768"/>
      <c r="BH48" s="1768"/>
      <c r="BI48" s="1768"/>
      <c r="BJ48" s="1768"/>
      <c r="BK48" s="1768"/>
    </row>
    <row r="49" spans="1:63" ht="22.5" customHeight="1">
      <c r="A49" s="1733"/>
      <c r="B49" s="1732"/>
      <c r="C49" s="1718" t="s">
        <v>1039</v>
      </c>
      <c r="D49" s="1768"/>
      <c r="E49" s="1768"/>
      <c r="F49" s="1768"/>
      <c r="G49" s="1768"/>
      <c r="H49" s="1768"/>
      <c r="I49" s="1768"/>
      <c r="J49" s="1768"/>
      <c r="K49" s="1768"/>
      <c r="L49" s="1768"/>
      <c r="M49" s="1768"/>
      <c r="N49" s="1768"/>
      <c r="O49" s="1768"/>
      <c r="P49" s="1768"/>
      <c r="Q49" s="1768"/>
      <c r="R49" s="1768"/>
      <c r="S49" s="1768"/>
      <c r="T49" s="1768"/>
      <c r="U49" s="1768"/>
      <c r="V49" s="1768"/>
      <c r="W49" s="1768"/>
      <c r="X49" s="1768"/>
      <c r="Y49" s="1768"/>
      <c r="Z49" s="1768"/>
      <c r="AA49" s="1768"/>
      <c r="AB49" s="1768"/>
      <c r="AC49" s="1768"/>
      <c r="AD49" s="1768"/>
      <c r="AE49" s="1768"/>
      <c r="AF49" s="1768"/>
      <c r="AG49" s="1768"/>
      <c r="AH49" s="1768"/>
      <c r="AI49" s="1768"/>
      <c r="AJ49" s="1768"/>
      <c r="AK49" s="1768"/>
      <c r="AL49" s="1768"/>
      <c r="AM49" s="1768"/>
      <c r="AN49" s="1768"/>
      <c r="AO49" s="1768"/>
      <c r="AP49" s="1768"/>
      <c r="AQ49" s="1768"/>
      <c r="AR49" s="1768"/>
      <c r="AS49" s="1768"/>
      <c r="AT49" s="1768"/>
      <c r="AU49" s="1768"/>
      <c r="AV49" s="1768"/>
      <c r="AW49" s="1768"/>
      <c r="AX49" s="1768"/>
      <c r="AY49" s="1768"/>
      <c r="AZ49" s="1768"/>
      <c r="BA49" s="1768"/>
      <c r="BB49" s="1768"/>
      <c r="BC49" s="1768"/>
      <c r="BD49" s="1768"/>
      <c r="BE49" s="1768"/>
      <c r="BF49" s="1768"/>
      <c r="BG49" s="1768"/>
      <c r="BH49" s="1768"/>
      <c r="BI49" s="1768"/>
      <c r="BJ49" s="1768"/>
      <c r="BK49" s="1768"/>
    </row>
    <row r="50" spans="1:63" ht="22.5" customHeight="1">
      <c r="A50" s="1733"/>
      <c r="B50" s="1732"/>
      <c r="C50" s="1718" t="s">
        <v>1033</v>
      </c>
      <c r="D50" s="1768"/>
      <c r="E50" s="1768"/>
      <c r="F50" s="1768"/>
      <c r="G50" s="1768"/>
      <c r="H50" s="1768"/>
      <c r="I50" s="1768"/>
      <c r="J50" s="1768"/>
      <c r="K50" s="1768"/>
      <c r="L50" s="1768"/>
      <c r="M50" s="1768"/>
      <c r="N50" s="1768"/>
      <c r="O50" s="1768"/>
      <c r="P50" s="1768"/>
      <c r="Q50" s="1768"/>
      <c r="R50" s="1768"/>
      <c r="S50" s="1768"/>
      <c r="T50" s="1768"/>
      <c r="U50" s="1768"/>
      <c r="V50" s="1768"/>
      <c r="W50" s="1768"/>
      <c r="X50" s="1768"/>
      <c r="Y50" s="1768"/>
      <c r="Z50" s="1768"/>
      <c r="AA50" s="1768"/>
      <c r="AB50" s="1768"/>
      <c r="AC50" s="1768"/>
      <c r="AD50" s="1768"/>
      <c r="AE50" s="1768"/>
      <c r="AF50" s="1768"/>
      <c r="AG50" s="1768"/>
      <c r="AH50" s="1768"/>
      <c r="AI50" s="1768"/>
      <c r="AJ50" s="1768"/>
      <c r="AK50" s="1768"/>
      <c r="AL50" s="1768"/>
      <c r="AM50" s="1768"/>
      <c r="AN50" s="1768"/>
      <c r="AO50" s="1768"/>
      <c r="AP50" s="1768"/>
      <c r="AQ50" s="1768"/>
      <c r="AR50" s="1768"/>
      <c r="AS50" s="1768"/>
      <c r="AT50" s="1768"/>
      <c r="AU50" s="1768"/>
      <c r="AV50" s="1768"/>
      <c r="AW50" s="1768"/>
      <c r="AX50" s="1768"/>
      <c r="AY50" s="1768"/>
      <c r="AZ50" s="1768"/>
      <c r="BA50" s="1768"/>
      <c r="BB50" s="1768"/>
      <c r="BC50" s="1768"/>
      <c r="BD50" s="1768"/>
      <c r="BE50" s="1768"/>
      <c r="BF50" s="1768"/>
      <c r="BG50" s="1768"/>
      <c r="BH50" s="1768"/>
      <c r="BI50" s="1768"/>
      <c r="BJ50" s="1768"/>
      <c r="BK50" s="1768"/>
    </row>
    <row r="51" spans="1:63" ht="22.5" customHeight="1">
      <c r="A51" s="1733"/>
      <c r="B51" s="1732"/>
      <c r="C51" s="1718" t="s">
        <v>1036</v>
      </c>
      <c r="D51" s="1768"/>
      <c r="E51" s="1768"/>
      <c r="F51" s="1768"/>
      <c r="G51" s="1768"/>
      <c r="H51" s="1768"/>
      <c r="I51" s="1768"/>
      <c r="J51" s="1768"/>
      <c r="K51" s="1768"/>
      <c r="L51" s="1768"/>
      <c r="M51" s="1768"/>
      <c r="N51" s="1768"/>
      <c r="O51" s="1768"/>
      <c r="P51" s="1768"/>
      <c r="Q51" s="1768"/>
      <c r="R51" s="1768"/>
      <c r="S51" s="1768"/>
      <c r="T51" s="1768"/>
      <c r="U51" s="1768"/>
      <c r="V51" s="1768"/>
      <c r="W51" s="1768"/>
      <c r="X51" s="1768"/>
      <c r="Y51" s="1768"/>
      <c r="Z51" s="1768"/>
      <c r="AA51" s="1768"/>
      <c r="AB51" s="1768"/>
      <c r="AC51" s="1768"/>
      <c r="AD51" s="1768"/>
      <c r="AE51" s="1768"/>
      <c r="AF51" s="1768"/>
      <c r="AG51" s="1768"/>
      <c r="AH51" s="1768"/>
      <c r="AI51" s="1768"/>
      <c r="AJ51" s="1768"/>
      <c r="AK51" s="1768"/>
      <c r="AL51" s="1768"/>
      <c r="AM51" s="1768"/>
      <c r="AN51" s="1768"/>
      <c r="AO51" s="1768"/>
      <c r="AP51" s="1768"/>
      <c r="AQ51" s="1768"/>
      <c r="AR51" s="1768"/>
      <c r="AS51" s="1768"/>
      <c r="AT51" s="1768"/>
      <c r="AU51" s="1768"/>
      <c r="AV51" s="1768"/>
      <c r="AW51" s="1768"/>
      <c r="AX51" s="1768"/>
      <c r="AY51" s="1768"/>
      <c r="AZ51" s="1768"/>
      <c r="BA51" s="1768"/>
      <c r="BB51" s="1768"/>
      <c r="BC51" s="1768"/>
      <c r="BD51" s="1768"/>
      <c r="BE51" s="1768"/>
      <c r="BF51" s="1768"/>
      <c r="BG51" s="1768"/>
      <c r="BH51" s="1768"/>
      <c r="BI51" s="1768"/>
      <c r="BJ51" s="1768"/>
      <c r="BK51" s="1768"/>
    </row>
    <row r="52" spans="1:63" ht="45.75" customHeight="1">
      <c r="A52" s="1749"/>
      <c r="B52" s="1754">
        <v>4</v>
      </c>
      <c r="C52" s="1736" t="s">
        <v>1060</v>
      </c>
      <c r="D52" s="1768"/>
      <c r="E52" s="1768"/>
      <c r="F52" s="1768"/>
      <c r="G52" s="1768"/>
      <c r="H52" s="1768"/>
      <c r="I52" s="1768"/>
      <c r="J52" s="1768"/>
      <c r="K52" s="1768"/>
      <c r="L52" s="1768"/>
      <c r="M52" s="1768"/>
      <c r="N52" s="1768"/>
      <c r="O52" s="1768"/>
      <c r="P52" s="1768"/>
      <c r="Q52" s="1768"/>
      <c r="R52" s="1768"/>
      <c r="S52" s="1768"/>
      <c r="T52" s="1768"/>
      <c r="U52" s="1768"/>
      <c r="V52" s="1768"/>
      <c r="W52" s="1768"/>
      <c r="X52" s="1768"/>
      <c r="Y52" s="1768"/>
      <c r="Z52" s="1768"/>
      <c r="AA52" s="1768"/>
      <c r="AB52" s="1768"/>
      <c r="AC52" s="1768"/>
      <c r="AD52" s="1768"/>
      <c r="AE52" s="1768"/>
      <c r="AF52" s="1768"/>
      <c r="AG52" s="1768"/>
      <c r="AH52" s="1768"/>
      <c r="AI52" s="1768"/>
      <c r="AJ52" s="1768"/>
      <c r="AK52" s="1768"/>
      <c r="AL52" s="1768"/>
      <c r="AM52" s="1768"/>
      <c r="AN52" s="1768"/>
      <c r="AO52" s="1768"/>
      <c r="AP52" s="1768"/>
      <c r="AQ52" s="1768"/>
      <c r="AR52" s="1768"/>
      <c r="AS52" s="1768"/>
      <c r="AT52" s="1768"/>
      <c r="AU52" s="1768"/>
      <c r="AV52" s="1768"/>
      <c r="AW52" s="1768"/>
      <c r="AX52" s="1768"/>
      <c r="AY52" s="1768"/>
      <c r="AZ52" s="1768"/>
      <c r="BA52" s="1768"/>
      <c r="BB52" s="1768"/>
      <c r="BC52" s="1768"/>
      <c r="BD52" s="1768"/>
      <c r="BE52" s="1768"/>
      <c r="BF52" s="1768"/>
      <c r="BG52" s="1768"/>
      <c r="BH52" s="1768"/>
      <c r="BI52" s="1768"/>
      <c r="BJ52" s="1768"/>
      <c r="BK52" s="1768"/>
    </row>
    <row r="53" spans="1:63" ht="22.5" customHeight="1">
      <c r="A53" s="1749"/>
      <c r="B53" s="1753"/>
      <c r="C53" s="1718" t="s">
        <v>1039</v>
      </c>
      <c r="D53" s="1768"/>
      <c r="E53" s="1768"/>
      <c r="F53" s="1768"/>
      <c r="G53" s="1768"/>
      <c r="H53" s="1768"/>
      <c r="I53" s="1768"/>
      <c r="J53" s="1768"/>
      <c r="K53" s="1768"/>
      <c r="L53" s="1768"/>
      <c r="M53" s="1768"/>
      <c r="N53" s="1768"/>
      <c r="O53" s="1768"/>
      <c r="P53" s="1768"/>
      <c r="Q53" s="1768"/>
      <c r="R53" s="1768"/>
      <c r="S53" s="1768"/>
      <c r="T53" s="1768"/>
      <c r="U53" s="1768"/>
      <c r="V53" s="1768"/>
      <c r="W53" s="1768"/>
      <c r="X53" s="1768"/>
      <c r="Y53" s="1768"/>
      <c r="Z53" s="1768"/>
      <c r="AA53" s="1768"/>
      <c r="AB53" s="1768"/>
      <c r="AC53" s="1768"/>
      <c r="AD53" s="1768"/>
      <c r="AE53" s="1768"/>
      <c r="AF53" s="1768"/>
      <c r="AG53" s="1768"/>
      <c r="AH53" s="1768"/>
      <c r="AI53" s="1768"/>
      <c r="AJ53" s="1768"/>
      <c r="AK53" s="1768"/>
      <c r="AL53" s="1768"/>
      <c r="AM53" s="1768"/>
      <c r="AN53" s="1768"/>
      <c r="AO53" s="1768"/>
      <c r="AP53" s="1768"/>
      <c r="AQ53" s="1768"/>
      <c r="AR53" s="1768"/>
      <c r="AS53" s="1768"/>
      <c r="AT53" s="1768"/>
      <c r="AU53" s="1768"/>
      <c r="AV53" s="1768"/>
      <c r="AW53" s="1768"/>
      <c r="AX53" s="1768"/>
      <c r="AY53" s="1768"/>
      <c r="AZ53" s="1768"/>
      <c r="BA53" s="1768"/>
      <c r="BB53" s="1768"/>
      <c r="BC53" s="1768"/>
      <c r="BD53" s="1768"/>
      <c r="BE53" s="1768"/>
      <c r="BF53" s="1768"/>
      <c r="BG53" s="1768"/>
      <c r="BH53" s="1768"/>
      <c r="BI53" s="1768"/>
      <c r="BJ53" s="1768"/>
      <c r="BK53" s="1768"/>
    </row>
    <row r="54" spans="1:63" ht="22.5" customHeight="1">
      <c r="A54" s="1749"/>
      <c r="B54" s="1753"/>
      <c r="C54" s="1718" t="s">
        <v>1039</v>
      </c>
      <c r="D54" s="1768"/>
      <c r="E54" s="1768"/>
      <c r="F54" s="1768"/>
      <c r="G54" s="1768"/>
      <c r="H54" s="1768"/>
      <c r="I54" s="1768"/>
      <c r="J54" s="1768"/>
      <c r="K54" s="1768"/>
      <c r="L54" s="1768"/>
      <c r="M54" s="1768"/>
      <c r="N54" s="1768"/>
      <c r="O54" s="1768"/>
      <c r="P54" s="1768"/>
      <c r="Q54" s="1768"/>
      <c r="R54" s="1768"/>
      <c r="S54" s="1768"/>
      <c r="T54" s="1768"/>
      <c r="U54" s="1768"/>
      <c r="V54" s="1768"/>
      <c r="W54" s="1768"/>
      <c r="X54" s="1768"/>
      <c r="Y54" s="1768"/>
      <c r="Z54" s="1768"/>
      <c r="AA54" s="1768"/>
      <c r="AB54" s="1768"/>
      <c r="AC54" s="1768"/>
      <c r="AD54" s="1768"/>
      <c r="AE54" s="1768"/>
      <c r="AF54" s="1768"/>
      <c r="AG54" s="1768"/>
      <c r="AH54" s="1768"/>
      <c r="AI54" s="1768"/>
      <c r="AJ54" s="1768"/>
      <c r="AK54" s="1768"/>
      <c r="AL54" s="1768"/>
      <c r="AM54" s="1768"/>
      <c r="AN54" s="1768"/>
      <c r="AO54" s="1768"/>
      <c r="AP54" s="1768"/>
      <c r="AQ54" s="1768"/>
      <c r="AR54" s="1768"/>
      <c r="AS54" s="1768"/>
      <c r="AT54" s="1768"/>
      <c r="AU54" s="1768"/>
      <c r="AV54" s="1768"/>
      <c r="AW54" s="1768"/>
      <c r="AX54" s="1768"/>
      <c r="AY54" s="1768"/>
      <c r="AZ54" s="1768"/>
      <c r="BA54" s="1768"/>
      <c r="BB54" s="1768"/>
      <c r="BC54" s="1768"/>
      <c r="BD54" s="1768"/>
      <c r="BE54" s="1768"/>
      <c r="BF54" s="1768"/>
      <c r="BG54" s="1768"/>
      <c r="BH54" s="1768"/>
      <c r="BI54" s="1768"/>
      <c r="BJ54" s="1768"/>
      <c r="BK54" s="1768"/>
    </row>
    <row r="55" spans="1:63" ht="22.5" customHeight="1">
      <c r="A55" s="1749"/>
      <c r="B55" s="1753"/>
      <c r="C55" s="1718" t="s">
        <v>1033</v>
      </c>
      <c r="D55" s="1768"/>
      <c r="E55" s="1768"/>
      <c r="F55" s="1768"/>
      <c r="G55" s="1768"/>
      <c r="H55" s="1768"/>
      <c r="I55" s="1768"/>
      <c r="J55" s="1768"/>
      <c r="K55" s="1768"/>
      <c r="L55" s="1768"/>
      <c r="M55" s="1768"/>
      <c r="N55" s="1768"/>
      <c r="O55" s="1768"/>
      <c r="P55" s="1768"/>
      <c r="Q55" s="1768"/>
      <c r="R55" s="1768"/>
      <c r="S55" s="1768"/>
      <c r="T55" s="1768"/>
      <c r="U55" s="1768"/>
      <c r="V55" s="1768"/>
      <c r="W55" s="1768"/>
      <c r="X55" s="1768"/>
      <c r="Y55" s="1768"/>
      <c r="Z55" s="1768"/>
      <c r="AA55" s="1768"/>
      <c r="AB55" s="1768"/>
      <c r="AC55" s="1768"/>
      <c r="AD55" s="1768"/>
      <c r="AE55" s="1768"/>
      <c r="AF55" s="1768"/>
      <c r="AG55" s="1768"/>
      <c r="AH55" s="1768"/>
      <c r="AI55" s="1768"/>
      <c r="AJ55" s="1768"/>
      <c r="AK55" s="1768"/>
      <c r="AL55" s="1768"/>
      <c r="AM55" s="1768"/>
      <c r="AN55" s="1768"/>
      <c r="AO55" s="1768"/>
      <c r="AP55" s="1768"/>
      <c r="AQ55" s="1768"/>
      <c r="AR55" s="1768"/>
      <c r="AS55" s="1768"/>
      <c r="AT55" s="1768"/>
      <c r="AU55" s="1768"/>
      <c r="AV55" s="1768"/>
      <c r="AW55" s="1768"/>
      <c r="AX55" s="1768"/>
      <c r="AY55" s="1768"/>
      <c r="AZ55" s="1768"/>
      <c r="BA55" s="1768"/>
      <c r="BB55" s="1768"/>
      <c r="BC55" s="1768"/>
      <c r="BD55" s="1768"/>
      <c r="BE55" s="1768"/>
      <c r="BF55" s="1768"/>
      <c r="BG55" s="1768"/>
      <c r="BH55" s="1768"/>
      <c r="BI55" s="1768"/>
      <c r="BJ55" s="1768"/>
      <c r="BK55" s="1768"/>
    </row>
    <row r="56" spans="1:63" ht="22.5" customHeight="1">
      <c r="A56" s="1749"/>
      <c r="B56" s="1753"/>
      <c r="C56" s="1718" t="s">
        <v>1036</v>
      </c>
      <c r="D56" s="1768"/>
      <c r="E56" s="1768"/>
      <c r="F56" s="1768"/>
      <c r="G56" s="1768"/>
      <c r="H56" s="1768"/>
      <c r="I56" s="1768"/>
      <c r="J56" s="1768"/>
      <c r="K56" s="1768"/>
      <c r="L56" s="1768"/>
      <c r="M56" s="1768"/>
      <c r="N56" s="1768"/>
      <c r="O56" s="1768"/>
      <c r="P56" s="1768"/>
      <c r="Q56" s="1768"/>
      <c r="R56" s="1768"/>
      <c r="S56" s="1768"/>
      <c r="T56" s="1768"/>
      <c r="U56" s="1768"/>
      <c r="V56" s="1768"/>
      <c r="W56" s="1768"/>
      <c r="X56" s="1768"/>
      <c r="Y56" s="1768"/>
      <c r="Z56" s="1768"/>
      <c r="AA56" s="1768"/>
      <c r="AB56" s="1768"/>
      <c r="AC56" s="1768"/>
      <c r="AD56" s="1768"/>
      <c r="AE56" s="1768"/>
      <c r="AF56" s="1768"/>
      <c r="AG56" s="1768"/>
      <c r="AH56" s="1768"/>
      <c r="AI56" s="1768"/>
      <c r="AJ56" s="1768"/>
      <c r="AK56" s="1768"/>
      <c r="AL56" s="1768"/>
      <c r="AM56" s="1768"/>
      <c r="AN56" s="1768"/>
      <c r="AO56" s="1768"/>
      <c r="AP56" s="1768"/>
      <c r="AQ56" s="1768"/>
      <c r="AR56" s="1768"/>
      <c r="AS56" s="1768"/>
      <c r="AT56" s="1768"/>
      <c r="AU56" s="1768"/>
      <c r="AV56" s="1768"/>
      <c r="AW56" s="1768"/>
      <c r="AX56" s="1768"/>
      <c r="AY56" s="1768"/>
      <c r="AZ56" s="1768"/>
      <c r="BA56" s="1768"/>
      <c r="BB56" s="1768"/>
      <c r="BC56" s="1768"/>
      <c r="BD56" s="1768"/>
      <c r="BE56" s="1768"/>
      <c r="BF56" s="1768"/>
      <c r="BG56" s="1768"/>
      <c r="BH56" s="1768"/>
      <c r="BI56" s="1768"/>
      <c r="BJ56" s="1768"/>
      <c r="BK56" s="1768"/>
    </row>
  </sheetData>
  <mergeCells count="28">
    <mergeCell ref="BB4:BF4"/>
    <mergeCell ref="BC5:BE5"/>
    <mergeCell ref="BG4:BK4"/>
    <mergeCell ref="BH5:BJ5"/>
    <mergeCell ref="A4:B5"/>
    <mergeCell ref="AM4:AQ4"/>
    <mergeCell ref="AN5:AP5"/>
    <mergeCell ref="AR4:AV4"/>
    <mergeCell ref="AS5:AU5"/>
    <mergeCell ref="AW4:BA4"/>
    <mergeCell ref="AX5:AZ5"/>
    <mergeCell ref="X4:AB4"/>
    <mergeCell ref="Y5:AA5"/>
    <mergeCell ref="AC4:AG4"/>
    <mergeCell ref="AD5:AF5"/>
    <mergeCell ref="AH4:AL4"/>
    <mergeCell ref="AI5:AK5"/>
    <mergeCell ref="I4:M4"/>
    <mergeCell ref="J5:L5"/>
    <mergeCell ref="N4:R4"/>
    <mergeCell ref="O5:Q5"/>
    <mergeCell ref="S4:W4"/>
    <mergeCell ref="T5:V5"/>
    <mergeCell ref="G1:H1"/>
    <mergeCell ref="A2:H2"/>
    <mergeCell ref="C4:C5"/>
    <mergeCell ref="E5:G5"/>
    <mergeCell ref="D4:H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W62"/>
  <sheetViews>
    <sheetView topLeftCell="A40" workbookViewId="0">
      <selection activeCell="C20" sqref="C20"/>
    </sheetView>
  </sheetViews>
  <sheetFormatPr defaultRowHeight="15"/>
  <cols>
    <col min="1" max="2" width="9.140625" style="1357"/>
    <col min="3" max="3" width="23.5703125" style="1357" customWidth="1"/>
    <col min="4" max="4" width="12.85546875" style="1357" customWidth="1"/>
    <col min="5" max="5" width="10.5703125" style="1357" customWidth="1"/>
    <col min="6" max="6" width="12.28515625" style="1357" customWidth="1"/>
    <col min="7" max="7" width="9.7109375" style="1357" customWidth="1"/>
    <col min="8" max="8" width="9" style="1357" customWidth="1"/>
    <col min="9" max="9" width="8.28515625" style="1357" customWidth="1"/>
    <col min="10" max="10" width="9.28515625" style="1357" customWidth="1"/>
    <col min="11" max="11" width="10.5703125" style="1357" customWidth="1"/>
    <col min="12" max="12" width="10" style="1357" customWidth="1"/>
    <col min="13" max="13" width="8.85546875" style="1357" customWidth="1"/>
    <col min="14" max="14" width="10.42578125" style="1357" customWidth="1"/>
    <col min="15" max="16" width="9.5703125" style="1357" customWidth="1"/>
    <col min="17" max="17" width="9.7109375" style="1357" customWidth="1"/>
    <col min="18" max="18" width="10" style="1357" customWidth="1"/>
    <col min="19" max="19" width="9.5703125" style="1357" customWidth="1"/>
    <col min="20" max="21" width="9.42578125" style="1357" customWidth="1"/>
    <col min="22" max="22" width="9.5703125" style="1357" customWidth="1"/>
    <col min="23" max="23" width="9.85546875" style="1357" customWidth="1"/>
    <col min="24" max="16384" width="9.140625" style="1357"/>
  </cols>
  <sheetData>
    <row r="1" spans="1:23">
      <c r="A1" s="1907" t="s">
        <v>840</v>
      </c>
      <c r="B1" s="1907"/>
      <c r="C1" s="1907"/>
      <c r="D1" s="1907"/>
      <c r="E1" s="1907"/>
      <c r="F1" s="1907"/>
      <c r="G1" s="1907"/>
      <c r="H1" s="1907"/>
      <c r="I1" s="1907"/>
      <c r="J1" s="1907"/>
      <c r="K1" s="1907"/>
      <c r="L1" s="1907"/>
      <c r="M1" s="1907"/>
      <c r="N1" s="1907"/>
      <c r="O1" s="1907"/>
      <c r="P1" s="1907"/>
      <c r="Q1" s="1907"/>
      <c r="R1" s="1907"/>
      <c r="S1" s="1907"/>
      <c r="T1" s="1907"/>
      <c r="U1" s="1907"/>
      <c r="V1" s="1907"/>
      <c r="W1" s="1907"/>
    </row>
    <row r="2" spans="1:23">
      <c r="A2" s="1907"/>
      <c r="B2" s="1907"/>
      <c r="C2" s="1907"/>
      <c r="D2" s="1907"/>
      <c r="E2" s="1907"/>
      <c r="F2" s="1907"/>
      <c r="G2" s="1907"/>
      <c r="H2" s="1907"/>
      <c r="I2" s="1907"/>
      <c r="J2" s="1907"/>
      <c r="K2" s="1907"/>
      <c r="L2" s="1907"/>
      <c r="M2" s="1907"/>
      <c r="N2" s="1907"/>
      <c r="O2" s="1907"/>
      <c r="P2" s="1907"/>
      <c r="Q2" s="1907"/>
      <c r="R2" s="1907"/>
      <c r="S2" s="1907"/>
      <c r="T2" s="1907"/>
      <c r="U2" s="1907"/>
      <c r="V2" s="1907"/>
      <c r="W2" s="1907"/>
    </row>
    <row r="3" spans="1:23" ht="18.75">
      <c r="A3" s="1395"/>
      <c r="B3" s="1395"/>
      <c r="C3" s="1395"/>
      <c r="D3" s="1395"/>
      <c r="E3" s="1418"/>
      <c r="F3" s="1418"/>
      <c r="G3" s="1395"/>
      <c r="H3" s="1395"/>
      <c r="I3" s="1395"/>
      <c r="J3" s="1395"/>
      <c r="K3" s="1395"/>
      <c r="L3" s="1395"/>
      <c r="M3" s="1395"/>
      <c r="N3" s="1395"/>
      <c r="O3" s="1395"/>
      <c r="P3" s="1395"/>
      <c r="Q3" s="1395"/>
      <c r="R3" s="1395"/>
      <c r="S3" s="1395"/>
      <c r="T3" s="1395"/>
      <c r="U3" s="1395"/>
      <c r="V3" s="1395"/>
      <c r="W3" s="1395"/>
    </row>
    <row r="4" spans="1:23">
      <c r="A4" s="1908" t="s">
        <v>309</v>
      </c>
      <c r="B4" s="1908" t="s">
        <v>626</v>
      </c>
      <c r="C4" s="1908" t="s">
        <v>751</v>
      </c>
      <c r="D4" s="1911" t="s">
        <v>829</v>
      </c>
      <c r="E4" s="1914" t="s">
        <v>754</v>
      </c>
      <c r="F4" s="1915"/>
      <c r="G4" s="1915"/>
      <c r="H4" s="1915"/>
      <c r="I4" s="1915"/>
      <c r="J4" s="1916"/>
      <c r="K4" s="1914" t="s">
        <v>826</v>
      </c>
      <c r="L4" s="1915"/>
      <c r="M4" s="1915"/>
      <c r="N4" s="1915"/>
      <c r="O4" s="1915"/>
      <c r="P4" s="1915"/>
      <c r="Q4" s="1915"/>
      <c r="R4" s="1915"/>
      <c r="S4" s="1915"/>
      <c r="T4" s="1915"/>
      <c r="U4" s="1915"/>
      <c r="V4" s="1915"/>
      <c r="W4" s="1916"/>
    </row>
    <row r="5" spans="1:23">
      <c r="A5" s="1909"/>
      <c r="B5" s="1909"/>
      <c r="C5" s="1909"/>
      <c r="D5" s="1912"/>
      <c r="E5" s="1917"/>
      <c r="F5" s="1918"/>
      <c r="G5" s="1918"/>
      <c r="H5" s="1918"/>
      <c r="I5" s="1918"/>
      <c r="J5" s="1919"/>
      <c r="K5" s="1917"/>
      <c r="L5" s="1918"/>
      <c r="M5" s="1918"/>
      <c r="N5" s="1918"/>
      <c r="O5" s="1918"/>
      <c r="P5" s="1918"/>
      <c r="Q5" s="1918"/>
      <c r="R5" s="1918"/>
      <c r="S5" s="1918"/>
      <c r="T5" s="1918"/>
      <c r="U5" s="1918"/>
      <c r="V5" s="1918"/>
      <c r="W5" s="1919"/>
    </row>
    <row r="6" spans="1:23" ht="48">
      <c r="A6" s="1909"/>
      <c r="B6" s="1909"/>
      <c r="C6" s="1909"/>
      <c r="D6" s="1912"/>
      <c r="E6" s="1358" t="s">
        <v>5</v>
      </c>
      <c r="F6" s="1358" t="s">
        <v>821</v>
      </c>
      <c r="G6" s="1359" t="s">
        <v>822</v>
      </c>
      <c r="H6" s="1359" t="s">
        <v>823</v>
      </c>
      <c r="I6" s="1360" t="s">
        <v>824</v>
      </c>
      <c r="J6" s="1361" t="s">
        <v>825</v>
      </c>
      <c r="K6" s="1362" t="s">
        <v>5</v>
      </c>
      <c r="L6" s="1363" t="s">
        <v>727</v>
      </c>
      <c r="M6" s="1364" t="s">
        <v>728</v>
      </c>
      <c r="N6" s="1364" t="s">
        <v>729</v>
      </c>
      <c r="O6" s="1364" t="s">
        <v>730</v>
      </c>
      <c r="P6" s="1364" t="s">
        <v>731</v>
      </c>
      <c r="Q6" s="1364" t="s">
        <v>732</v>
      </c>
      <c r="R6" s="1364" t="s">
        <v>733</v>
      </c>
      <c r="S6" s="1364" t="s">
        <v>734</v>
      </c>
      <c r="T6" s="1364" t="s">
        <v>735</v>
      </c>
      <c r="U6" s="1364" t="s">
        <v>736</v>
      </c>
      <c r="V6" s="1364" t="s">
        <v>737</v>
      </c>
      <c r="W6" s="1364" t="s">
        <v>738</v>
      </c>
    </row>
    <row r="7" spans="1:23">
      <c r="A7" s="1910"/>
      <c r="B7" s="1910"/>
      <c r="C7" s="1910"/>
      <c r="D7" s="1913"/>
      <c r="E7" s="1365"/>
      <c r="F7" s="1365">
        <v>1</v>
      </c>
      <c r="G7" s="1366">
        <v>2</v>
      </c>
      <c r="H7" s="1365">
        <v>3</v>
      </c>
      <c r="I7" s="1366">
        <v>4</v>
      </c>
      <c r="J7" s="1365">
        <v>5</v>
      </c>
      <c r="K7" s="1367"/>
      <c r="L7" s="1368">
        <v>6</v>
      </c>
      <c r="M7" s="1369">
        <v>7</v>
      </c>
      <c r="N7" s="1368">
        <v>8</v>
      </c>
      <c r="O7" s="1369">
        <v>9</v>
      </c>
      <c r="P7" s="1368">
        <v>10</v>
      </c>
      <c r="Q7" s="1369">
        <v>11</v>
      </c>
      <c r="R7" s="1368">
        <v>12</v>
      </c>
      <c r="S7" s="1369">
        <v>13</v>
      </c>
      <c r="T7" s="1368">
        <v>14</v>
      </c>
      <c r="U7" s="1369">
        <v>15</v>
      </c>
      <c r="V7" s="1368">
        <v>16</v>
      </c>
      <c r="W7" s="1369">
        <v>17</v>
      </c>
    </row>
    <row r="8" spans="1:23" s="1403" customFormat="1" ht="11.25">
      <c r="A8" s="1396" t="s">
        <v>768</v>
      </c>
      <c r="B8" s="1397"/>
      <c r="C8" s="1398" t="s">
        <v>841</v>
      </c>
      <c r="D8" s="1399">
        <f>D9</f>
        <v>71196300</v>
      </c>
      <c r="E8" s="1400"/>
      <c r="F8" s="1400"/>
      <c r="G8" s="1400"/>
      <c r="H8" s="1400"/>
      <c r="I8" s="1400"/>
      <c r="J8" s="1400"/>
      <c r="K8" s="1401"/>
      <c r="L8" s="1402"/>
      <c r="M8" s="1402"/>
      <c r="N8" s="1402"/>
      <c r="O8" s="1402"/>
      <c r="P8" s="1402"/>
      <c r="Q8" s="1402"/>
      <c r="R8" s="1402"/>
      <c r="S8" s="1402"/>
      <c r="T8" s="1402"/>
      <c r="U8" s="1402"/>
      <c r="V8" s="1402"/>
      <c r="W8" s="1402"/>
    </row>
    <row r="9" spans="1:23" s="1403" customFormat="1" ht="42">
      <c r="A9" s="1396"/>
      <c r="B9" s="1396"/>
      <c r="C9" s="1404" t="s">
        <v>837</v>
      </c>
      <c r="D9" s="1331">
        <f>D10+D11</f>
        <v>71196300</v>
      </c>
      <c r="E9" s="1331">
        <f t="shared" ref="E9:W9" si="0">E10+E11</f>
        <v>21461300</v>
      </c>
      <c r="F9" s="1331">
        <f t="shared" si="0"/>
        <v>0</v>
      </c>
      <c r="G9" s="1331">
        <f t="shared" si="0"/>
        <v>0</v>
      </c>
      <c r="H9" s="1331">
        <f t="shared" si="0"/>
        <v>0</v>
      </c>
      <c r="I9" s="1331">
        <f t="shared" si="0"/>
        <v>0</v>
      </c>
      <c r="J9" s="1331">
        <f t="shared" si="0"/>
        <v>0</v>
      </c>
      <c r="K9" s="1331">
        <f t="shared" si="0"/>
        <v>22735000</v>
      </c>
      <c r="L9" s="1331">
        <f t="shared" si="0"/>
        <v>3150800</v>
      </c>
      <c r="M9" s="1331">
        <f t="shared" si="0"/>
        <v>517400</v>
      </c>
      <c r="N9" s="1331">
        <f t="shared" si="0"/>
        <v>2658400</v>
      </c>
      <c r="O9" s="1331">
        <f t="shared" si="0"/>
        <v>2392200</v>
      </c>
      <c r="P9" s="1331">
        <f t="shared" si="0"/>
        <v>2629800</v>
      </c>
      <c r="Q9" s="1331">
        <f t="shared" si="0"/>
        <v>1142100</v>
      </c>
      <c r="R9" s="1331">
        <f t="shared" si="0"/>
        <v>2300300</v>
      </c>
      <c r="S9" s="1331">
        <f t="shared" si="0"/>
        <v>2262600</v>
      </c>
      <c r="T9" s="1331">
        <f t="shared" si="0"/>
        <v>2696300</v>
      </c>
      <c r="U9" s="1331">
        <f t="shared" si="0"/>
        <v>1082600</v>
      </c>
      <c r="V9" s="1331">
        <f t="shared" si="0"/>
        <v>1100600</v>
      </c>
      <c r="W9" s="1331">
        <f t="shared" si="0"/>
        <v>801900</v>
      </c>
    </row>
    <row r="10" spans="1:23" s="1409" customFormat="1" ht="45">
      <c r="A10" s="1405"/>
      <c r="B10" s="1406"/>
      <c r="C10" s="1407" t="s">
        <v>839</v>
      </c>
      <c r="D10" s="1393">
        <v>27000000</v>
      </c>
      <c r="E10" s="1394"/>
      <c r="F10" s="1394"/>
      <c r="G10" s="1394"/>
      <c r="H10" s="1394"/>
      <c r="I10" s="1394"/>
      <c r="J10" s="1394"/>
      <c r="K10" s="1393">
        <v>0</v>
      </c>
      <c r="L10" s="1408"/>
      <c r="M10" s="1408"/>
      <c r="N10" s="1408"/>
      <c r="O10" s="1408"/>
      <c r="P10" s="1408"/>
      <c r="Q10" s="1408"/>
      <c r="R10" s="1408"/>
      <c r="S10" s="1408"/>
      <c r="T10" s="1408"/>
      <c r="U10" s="1408"/>
      <c r="V10" s="1408"/>
      <c r="W10" s="1408"/>
    </row>
    <row r="11" spans="1:23" s="1409" customFormat="1" ht="33.75">
      <c r="A11" s="1410"/>
      <c r="B11" s="1410"/>
      <c r="C11" s="1407" t="s">
        <v>838</v>
      </c>
      <c r="D11" s="1411">
        <f t="shared" ref="D11:D62" si="1">E11+K11</f>
        <v>44196300</v>
      </c>
      <c r="E11" s="1394">
        <v>21461300</v>
      </c>
      <c r="F11" s="1412"/>
      <c r="G11" s="1412"/>
      <c r="H11" s="1412"/>
      <c r="I11" s="1412"/>
      <c r="J11" s="1412"/>
      <c r="K11" s="1393">
        <f>SUM(L11:W11)</f>
        <v>22735000</v>
      </c>
      <c r="L11" s="1408">
        <v>3150800</v>
      </c>
      <c r="M11" s="1408">
        <v>517400</v>
      </c>
      <c r="N11" s="1408">
        <v>2658400</v>
      </c>
      <c r="O11" s="1408">
        <v>2392200</v>
      </c>
      <c r="P11" s="1408">
        <v>2629800</v>
      </c>
      <c r="Q11" s="1408">
        <v>1142100</v>
      </c>
      <c r="R11" s="1408">
        <v>2300300</v>
      </c>
      <c r="S11" s="1408">
        <v>2262600</v>
      </c>
      <c r="T11" s="1408">
        <v>2696300</v>
      </c>
      <c r="U11" s="1408">
        <v>1082600</v>
      </c>
      <c r="V11" s="1408">
        <v>1100600</v>
      </c>
      <c r="W11" s="1408">
        <v>801900</v>
      </c>
    </row>
    <row r="12" spans="1:23" s="1409" customFormat="1" ht="21">
      <c r="A12" s="1419" t="s">
        <v>804</v>
      </c>
      <c r="B12" s="1421"/>
      <c r="C12" s="1422" t="s">
        <v>845</v>
      </c>
      <c r="D12" s="1427">
        <f>D13+D14+D15</f>
        <v>49203000</v>
      </c>
      <c r="E12" s="1427">
        <f t="shared" ref="E12:W12" si="2">E13+E14+E15</f>
        <v>22005000</v>
      </c>
      <c r="F12" s="1427">
        <f t="shared" si="2"/>
        <v>12106000</v>
      </c>
      <c r="G12" s="1427">
        <f t="shared" si="2"/>
        <v>2687000</v>
      </c>
      <c r="H12" s="1427">
        <f t="shared" si="2"/>
        <v>6592000</v>
      </c>
      <c r="I12" s="1427">
        <f t="shared" si="2"/>
        <v>119000</v>
      </c>
      <c r="J12" s="1427">
        <f t="shared" si="2"/>
        <v>501000</v>
      </c>
      <c r="K12" s="1427">
        <f t="shared" si="2"/>
        <v>27198000</v>
      </c>
      <c r="L12" s="1427">
        <f t="shared" si="2"/>
        <v>3682000</v>
      </c>
      <c r="M12" s="1427">
        <f t="shared" si="2"/>
        <v>738000</v>
      </c>
      <c r="N12" s="1427">
        <f t="shared" si="2"/>
        <v>2972000</v>
      </c>
      <c r="O12" s="1427">
        <f t="shared" si="2"/>
        <v>3036000</v>
      </c>
      <c r="P12" s="1427">
        <f t="shared" si="2"/>
        <v>3183000</v>
      </c>
      <c r="Q12" s="1427">
        <f t="shared" si="2"/>
        <v>1253000</v>
      </c>
      <c r="R12" s="1427">
        <f t="shared" si="2"/>
        <v>3046000</v>
      </c>
      <c r="S12" s="1427">
        <f t="shared" si="2"/>
        <v>2807000</v>
      </c>
      <c r="T12" s="1427">
        <f t="shared" si="2"/>
        <v>3067000</v>
      </c>
      <c r="U12" s="1427">
        <f t="shared" si="2"/>
        <v>925000</v>
      </c>
      <c r="V12" s="1427">
        <f t="shared" si="2"/>
        <v>1057000</v>
      </c>
      <c r="W12" s="1427">
        <f t="shared" si="2"/>
        <v>1432000</v>
      </c>
    </row>
    <row r="13" spans="1:23" s="1409" customFormat="1" ht="28.5" customHeight="1">
      <c r="A13" s="1410"/>
      <c r="B13" s="1410">
        <v>1</v>
      </c>
      <c r="C13" s="1423" t="s">
        <v>844</v>
      </c>
      <c r="D13" s="1411">
        <f t="shared" si="1"/>
        <v>34164000</v>
      </c>
      <c r="E13" s="1394">
        <f t="shared" ref="E13:E15" si="3">SUM(F13:J13)</f>
        <v>15580000</v>
      </c>
      <c r="F13" s="1426">
        <v>9812000</v>
      </c>
      <c r="G13" s="1426">
        <v>1352000</v>
      </c>
      <c r="H13" s="1426">
        <v>3966000</v>
      </c>
      <c r="I13" s="1426">
        <v>99000</v>
      </c>
      <c r="J13" s="1426">
        <v>351000</v>
      </c>
      <c r="K13" s="1393">
        <f>SUM(L13:W13)</f>
        <v>18584000</v>
      </c>
      <c r="L13" s="1408">
        <v>2790000</v>
      </c>
      <c r="M13" s="1408">
        <v>376000</v>
      </c>
      <c r="N13" s="1408">
        <v>2326000</v>
      </c>
      <c r="O13" s="1408">
        <v>2096000</v>
      </c>
      <c r="P13" s="1408">
        <v>2432000</v>
      </c>
      <c r="Q13" s="1408">
        <v>410000</v>
      </c>
      <c r="R13" s="1408">
        <v>1972000</v>
      </c>
      <c r="S13" s="1408">
        <v>2102000</v>
      </c>
      <c r="T13" s="1408">
        <v>1989000</v>
      </c>
      <c r="U13" s="1408">
        <v>407000</v>
      </c>
      <c r="V13" s="1408">
        <v>738000</v>
      </c>
      <c r="W13" s="1408">
        <v>946000</v>
      </c>
    </row>
    <row r="14" spans="1:23" s="1409" customFormat="1" ht="21" customHeight="1">
      <c r="A14" s="1410"/>
      <c r="B14" s="1410">
        <v>2</v>
      </c>
      <c r="C14" s="1423" t="s">
        <v>843</v>
      </c>
      <c r="D14" s="1411">
        <f t="shared" si="1"/>
        <v>8614000</v>
      </c>
      <c r="E14" s="1394">
        <f t="shared" si="3"/>
        <v>0</v>
      </c>
      <c r="F14" s="1412"/>
      <c r="G14" s="1412"/>
      <c r="H14" s="1412"/>
      <c r="I14" s="1412"/>
      <c r="J14" s="1412"/>
      <c r="K14" s="1393">
        <f>SUM(L14:W14)</f>
        <v>8614000</v>
      </c>
      <c r="L14" s="1408">
        <v>892000</v>
      </c>
      <c r="M14" s="1408">
        <v>362000</v>
      </c>
      <c r="N14" s="1408">
        <v>646000</v>
      </c>
      <c r="O14" s="1408">
        <v>940000</v>
      </c>
      <c r="P14" s="1408">
        <v>751000</v>
      </c>
      <c r="Q14" s="1408">
        <v>843000</v>
      </c>
      <c r="R14" s="1408">
        <v>1074000</v>
      </c>
      <c r="S14" s="1408">
        <v>705000</v>
      </c>
      <c r="T14" s="1408">
        <v>1078000</v>
      </c>
      <c r="U14" s="1408">
        <v>518000</v>
      </c>
      <c r="V14" s="1408">
        <v>319000</v>
      </c>
      <c r="W14" s="1408">
        <v>486000</v>
      </c>
    </row>
    <row r="15" spans="1:23" s="1409" customFormat="1" ht="21" customHeight="1">
      <c r="A15" s="1419"/>
      <c r="B15" s="1420">
        <v>3</v>
      </c>
      <c r="C15" s="1423" t="s">
        <v>846</v>
      </c>
      <c r="D15" s="1411">
        <f t="shared" si="1"/>
        <v>6425000</v>
      </c>
      <c r="E15" s="1394">
        <f t="shared" si="3"/>
        <v>6425000</v>
      </c>
      <c r="F15" s="1426">
        <v>2294000</v>
      </c>
      <c r="G15" s="1426">
        <v>1335000</v>
      </c>
      <c r="H15" s="1426">
        <v>2626000</v>
      </c>
      <c r="I15" s="1426">
        <v>20000</v>
      </c>
      <c r="J15" s="1426">
        <v>150000</v>
      </c>
      <c r="K15" s="1393"/>
      <c r="L15" s="1408"/>
      <c r="M15" s="1408"/>
      <c r="N15" s="1408"/>
      <c r="O15" s="1408"/>
      <c r="P15" s="1408"/>
      <c r="Q15" s="1408"/>
      <c r="R15" s="1408"/>
      <c r="S15" s="1408"/>
      <c r="T15" s="1408"/>
      <c r="U15" s="1408"/>
      <c r="V15" s="1408"/>
      <c r="W15" s="1408"/>
    </row>
    <row r="16" spans="1:23" s="1414" customFormat="1" ht="21">
      <c r="A16" s="1370" t="s">
        <v>815</v>
      </c>
      <c r="B16" s="1371"/>
      <c r="C16" s="1413" t="s">
        <v>842</v>
      </c>
      <c r="D16" s="1331">
        <f t="shared" si="1"/>
        <v>67256761.24000001</v>
      </c>
      <c r="E16" s="1331">
        <f>SUM(F16:J16)</f>
        <v>21148356</v>
      </c>
      <c r="F16" s="1331">
        <f>F17+F22+F27+F32+F33+F34+F35+F36+F37+F40+F44+F45+F46+F47+F48+F49+F50+F51+F52+F57</f>
        <v>10775355</v>
      </c>
      <c r="G16" s="1331">
        <f t="shared" ref="G16:W16" si="4">G17+G22+G27+G32+G33+G34+G35+G36+G37+G40+G44+G45+G46+G47+G48+G49+G50+G51+G52+G57</f>
        <v>2665000</v>
      </c>
      <c r="H16" s="1331">
        <f t="shared" si="4"/>
        <v>6895702</v>
      </c>
      <c r="I16" s="1331">
        <f t="shared" si="4"/>
        <v>438200</v>
      </c>
      <c r="J16" s="1331">
        <f t="shared" si="4"/>
        <v>374099</v>
      </c>
      <c r="K16" s="1331">
        <f>SUM(L16:W16)</f>
        <v>46108405.240000002</v>
      </c>
      <c r="L16" s="1331">
        <f t="shared" si="4"/>
        <v>9081498</v>
      </c>
      <c r="M16" s="1331">
        <f t="shared" si="4"/>
        <v>1852723.2039999999</v>
      </c>
      <c r="N16" s="1331">
        <f t="shared" si="4"/>
        <v>2997878</v>
      </c>
      <c r="O16" s="1331">
        <f t="shared" si="4"/>
        <v>4152518</v>
      </c>
      <c r="P16" s="1331">
        <f t="shared" si="4"/>
        <v>4609641</v>
      </c>
      <c r="Q16" s="1331">
        <f t="shared" si="4"/>
        <v>2690647.35</v>
      </c>
      <c r="R16" s="1331">
        <f t="shared" si="4"/>
        <v>4000728.3459999999</v>
      </c>
      <c r="S16" s="1331">
        <f t="shared" si="4"/>
        <v>3083488.3</v>
      </c>
      <c r="T16" s="1331">
        <f t="shared" si="4"/>
        <v>4474117.04</v>
      </c>
      <c r="U16" s="1331">
        <f t="shared" si="4"/>
        <v>2908957</v>
      </c>
      <c r="V16" s="1331">
        <f t="shared" si="4"/>
        <v>1893128</v>
      </c>
      <c r="W16" s="1331">
        <f t="shared" si="4"/>
        <v>4363081</v>
      </c>
    </row>
    <row r="17" spans="1:23" ht="48">
      <c r="A17" s="1372">
        <v>1</v>
      </c>
      <c r="B17" s="1373" t="s">
        <v>34</v>
      </c>
      <c r="C17" s="1374" t="s">
        <v>243</v>
      </c>
      <c r="D17" s="1339">
        <f t="shared" si="1"/>
        <v>11052476.449999999</v>
      </c>
      <c r="E17" s="1339">
        <f t="shared" ref="E17:E62" si="5">SUM(F17:J17)</f>
        <v>763250</v>
      </c>
      <c r="F17" s="979">
        <f>'Chi tiết'!H9</f>
        <v>763250</v>
      </c>
      <c r="G17" s="979">
        <f>'Chi tiết'!I9</f>
        <v>0</v>
      </c>
      <c r="H17" s="979">
        <f>'Chi tiết'!J9</f>
        <v>0</v>
      </c>
      <c r="I17" s="979">
        <f>'Chi tiết'!K9</f>
        <v>0</v>
      </c>
      <c r="J17" s="979">
        <f>'Chi tiết'!L9</f>
        <v>0</v>
      </c>
      <c r="K17" s="979">
        <f>'Chi tiết'!M9</f>
        <v>10289226.449999999</v>
      </c>
      <c r="L17" s="979">
        <f>'Chi tiết'!N9</f>
        <v>3344425</v>
      </c>
      <c r="M17" s="979">
        <f>'Chi tiết'!O9</f>
        <v>188250</v>
      </c>
      <c r="N17" s="979">
        <f>'Chi tiết'!P9</f>
        <v>797850</v>
      </c>
      <c r="O17" s="979">
        <f>'Chi tiết'!Q9</f>
        <v>696784</v>
      </c>
      <c r="P17" s="979">
        <f>'Chi tiết'!R9</f>
        <v>1204746</v>
      </c>
      <c r="Q17" s="979">
        <f>'Chi tiết'!S9</f>
        <v>623033.15</v>
      </c>
      <c r="R17" s="979">
        <f>'Chi tiết'!T9</f>
        <v>735064</v>
      </c>
      <c r="S17" s="979">
        <f>'Chi tiết'!U9</f>
        <v>523714.3</v>
      </c>
      <c r="T17" s="979">
        <f>'Chi tiết'!V9</f>
        <v>454600</v>
      </c>
      <c r="U17" s="979">
        <f>'Chi tiết'!W9</f>
        <v>1171760</v>
      </c>
      <c r="V17" s="979">
        <f>'Chi tiết'!X9</f>
        <v>49600</v>
      </c>
      <c r="W17" s="979">
        <f>'Chi tiết'!Y9</f>
        <v>499400</v>
      </c>
    </row>
    <row r="18" spans="1:23" ht="24">
      <c r="A18" s="1372" t="s">
        <v>578</v>
      </c>
      <c r="B18" s="1373" t="s">
        <v>34</v>
      </c>
      <c r="C18" s="1374" t="s">
        <v>827</v>
      </c>
      <c r="D18" s="1339">
        <f t="shared" si="1"/>
        <v>1044980</v>
      </c>
      <c r="E18" s="1339">
        <f t="shared" si="5"/>
        <v>86000</v>
      </c>
      <c r="F18" s="979">
        <f>'Chi tiết'!H10</f>
        <v>86000</v>
      </c>
      <c r="G18" s="979">
        <f>'Chi tiết'!I10</f>
        <v>0</v>
      </c>
      <c r="H18" s="979">
        <f>'Chi tiết'!J10</f>
        <v>0</v>
      </c>
      <c r="I18" s="979">
        <f>'Chi tiết'!K10</f>
        <v>0</v>
      </c>
      <c r="J18" s="979">
        <f>'Chi tiết'!L10</f>
        <v>0</v>
      </c>
      <c r="K18" s="979">
        <f>'Chi tiết'!M10</f>
        <v>958980</v>
      </c>
      <c r="L18" s="979">
        <f>'Chi tiết'!N10</f>
        <v>66402</v>
      </c>
      <c r="M18" s="979">
        <f>'Chi tiết'!O10</f>
        <v>38000</v>
      </c>
      <c r="N18" s="979">
        <f>'Chi tiết'!P10</f>
        <v>37250</v>
      </c>
      <c r="O18" s="979">
        <f>'Chi tiết'!Q10</f>
        <v>291080</v>
      </c>
      <c r="P18" s="979">
        <f>'Chi tiết'!R10</f>
        <v>52500</v>
      </c>
      <c r="Q18" s="979">
        <f>'Chi tiết'!S10</f>
        <v>49700</v>
      </c>
      <c r="R18" s="979">
        <f>'Chi tiết'!T10</f>
        <v>126580</v>
      </c>
      <c r="S18" s="979">
        <f>'Chi tiết'!U10</f>
        <v>50308</v>
      </c>
      <c r="T18" s="979">
        <f>'Chi tiết'!V10</f>
        <v>40800</v>
      </c>
      <c r="U18" s="979">
        <f>'Chi tiết'!W10</f>
        <v>45960</v>
      </c>
      <c r="V18" s="979">
        <f>'Chi tiết'!X10</f>
        <v>49600</v>
      </c>
      <c r="W18" s="979">
        <f>'Chi tiết'!Y10</f>
        <v>110800</v>
      </c>
    </row>
    <row r="19" spans="1:23" ht="24">
      <c r="A19" s="1372" t="s">
        <v>579</v>
      </c>
      <c r="B19" s="1373" t="s">
        <v>34</v>
      </c>
      <c r="C19" s="1451" t="s">
        <v>861</v>
      </c>
      <c r="D19" s="1339">
        <f t="shared" si="1"/>
        <v>9799770.4499999993</v>
      </c>
      <c r="E19" s="1339">
        <f t="shared" si="5"/>
        <v>638850</v>
      </c>
      <c r="F19" s="979">
        <f>'Chi tiết'!H22</f>
        <v>638850</v>
      </c>
      <c r="G19" s="979">
        <f>'Chi tiết'!I22</f>
        <v>0</v>
      </c>
      <c r="H19" s="979">
        <f>'Chi tiết'!J22</f>
        <v>0</v>
      </c>
      <c r="I19" s="979">
        <f>'Chi tiết'!K22</f>
        <v>0</v>
      </c>
      <c r="J19" s="979">
        <f>'Chi tiết'!L22</f>
        <v>0</v>
      </c>
      <c r="K19" s="979">
        <f>'Chi tiết'!M22</f>
        <v>9160920.4499999993</v>
      </c>
      <c r="L19" s="979">
        <f>'Chi tiết'!N22</f>
        <v>3273523</v>
      </c>
      <c r="M19" s="979">
        <f>'Chi tiết'!O22</f>
        <v>137750</v>
      </c>
      <c r="N19" s="979">
        <f>'Chi tiết'!P22</f>
        <v>754800</v>
      </c>
      <c r="O19" s="979">
        <f>'Chi tiết'!Q22</f>
        <v>405704</v>
      </c>
      <c r="P19" s="979">
        <f>'Chi tiết'!R22</f>
        <v>1005720</v>
      </c>
      <c r="Q19" s="979">
        <f>'Chi tiết'!S22</f>
        <v>573333.15</v>
      </c>
      <c r="R19" s="979">
        <f>'Chi tiết'!T22</f>
        <v>608484</v>
      </c>
      <c r="S19" s="979">
        <f>'Chi tiết'!U22</f>
        <v>473406.3</v>
      </c>
      <c r="T19" s="979">
        <f>'Chi tiết'!V22</f>
        <v>413800</v>
      </c>
      <c r="U19" s="979">
        <f>'Chi tiết'!W22</f>
        <v>1125800</v>
      </c>
      <c r="V19" s="979">
        <f>'Chi tiết'!X22</f>
        <v>0</v>
      </c>
      <c r="W19" s="979">
        <f>'Chi tiết'!Y22</f>
        <v>388600</v>
      </c>
    </row>
    <row r="20" spans="1:23">
      <c r="A20" s="1372" t="s">
        <v>580</v>
      </c>
      <c r="B20" s="1373" t="s">
        <v>34</v>
      </c>
      <c r="C20" s="1374" t="s">
        <v>862</v>
      </c>
      <c r="D20" s="1339">
        <f t="shared" si="1"/>
        <v>58176</v>
      </c>
      <c r="E20" s="1339">
        <f t="shared" si="5"/>
        <v>8400</v>
      </c>
      <c r="F20" s="979">
        <f>'Chi tiết'!H34</f>
        <v>8400</v>
      </c>
      <c r="G20" s="979">
        <f>'Chi tiết'!I34</f>
        <v>0</v>
      </c>
      <c r="H20" s="979">
        <f>'Chi tiết'!J34</f>
        <v>0</v>
      </c>
      <c r="I20" s="979">
        <f>'Chi tiết'!K34</f>
        <v>0</v>
      </c>
      <c r="J20" s="979">
        <f>'Chi tiết'!L34</f>
        <v>0</v>
      </c>
      <c r="K20" s="979">
        <f>'Chi tiết'!M34</f>
        <v>49776</v>
      </c>
      <c r="L20" s="979">
        <f>'Chi tiết'!N34</f>
        <v>4500</v>
      </c>
      <c r="M20" s="979">
        <f>'Chi tiết'!O34</f>
        <v>12500</v>
      </c>
      <c r="N20" s="979">
        <f>'Chi tiết'!P34</f>
        <v>5800</v>
      </c>
      <c r="O20" s="979">
        <f>'Chi tiết'!Q34</f>
        <v>0</v>
      </c>
      <c r="P20" s="979">
        <f>'Chi tiết'!R34</f>
        <v>26976</v>
      </c>
      <c r="Q20" s="979">
        <f>'Chi tiết'!S34</f>
        <v>0</v>
      </c>
      <c r="R20" s="979">
        <f>'Chi tiết'!T34</f>
        <v>0</v>
      </c>
      <c r="S20" s="979">
        <f>'Chi tiết'!U34</f>
        <v>0</v>
      </c>
      <c r="T20" s="979">
        <f>'Chi tiết'!V34</f>
        <v>0</v>
      </c>
      <c r="U20" s="979">
        <f>'Chi tiết'!W34</f>
        <v>0</v>
      </c>
      <c r="V20" s="979">
        <f>'Chi tiết'!X34</f>
        <v>0</v>
      </c>
      <c r="W20" s="979">
        <f>'Chi tiết'!Y34</f>
        <v>0</v>
      </c>
    </row>
    <row r="21" spans="1:23" ht="36">
      <c r="A21" s="1372" t="s">
        <v>581</v>
      </c>
      <c r="B21" s="1373" t="s">
        <v>34</v>
      </c>
      <c r="C21" s="1374" t="s">
        <v>223</v>
      </c>
      <c r="D21" s="1339">
        <f t="shared" si="1"/>
        <v>149550</v>
      </c>
      <c r="E21" s="1339">
        <f t="shared" si="5"/>
        <v>30000</v>
      </c>
      <c r="F21" s="979">
        <f>'Chi tiết'!H46</f>
        <v>30000</v>
      </c>
      <c r="G21" s="979">
        <f>'Chi tiết'!I46</f>
        <v>0</v>
      </c>
      <c r="H21" s="979">
        <f>'Chi tiết'!J46</f>
        <v>0</v>
      </c>
      <c r="I21" s="979">
        <f>'Chi tiết'!K46</f>
        <v>0</v>
      </c>
      <c r="J21" s="979">
        <f>'Chi tiết'!L46</f>
        <v>0</v>
      </c>
      <c r="K21" s="979">
        <f>'Chi tiết'!M46</f>
        <v>119550</v>
      </c>
      <c r="L21" s="979">
        <f>'Chi tiết'!N46</f>
        <v>0</v>
      </c>
      <c r="M21" s="979">
        <f>'Chi tiết'!O46</f>
        <v>0</v>
      </c>
      <c r="N21" s="979">
        <f>'Chi tiết'!P46</f>
        <v>0</v>
      </c>
      <c r="O21" s="979">
        <f>'Chi tiết'!Q46</f>
        <v>0</v>
      </c>
      <c r="P21" s="979">
        <f>'Chi tiết'!R46</f>
        <v>119550</v>
      </c>
      <c r="Q21" s="979">
        <f>'Chi tiết'!S46</f>
        <v>0</v>
      </c>
      <c r="R21" s="979">
        <f>'Chi tiết'!T46</f>
        <v>0</v>
      </c>
      <c r="S21" s="979">
        <f>'Chi tiết'!U46</f>
        <v>0</v>
      </c>
      <c r="T21" s="979">
        <f>'Chi tiết'!V46</f>
        <v>0</v>
      </c>
      <c r="U21" s="979">
        <f>'Chi tiết'!W46</f>
        <v>0</v>
      </c>
      <c r="V21" s="979">
        <f>'Chi tiết'!X46</f>
        <v>0</v>
      </c>
      <c r="W21" s="979">
        <f>'Chi tiết'!Y46</f>
        <v>0</v>
      </c>
    </row>
    <row r="22" spans="1:23" ht="24">
      <c r="A22" s="1375">
        <v>2</v>
      </c>
      <c r="B22" s="1373" t="s">
        <v>34</v>
      </c>
      <c r="C22" s="1374" t="s">
        <v>234</v>
      </c>
      <c r="D22" s="1339">
        <f t="shared" si="1"/>
        <v>6454986.3459999999</v>
      </c>
      <c r="E22" s="1339">
        <f t="shared" si="5"/>
        <v>1297680</v>
      </c>
      <c r="F22" s="979">
        <f>'Chi tiết'!H51</f>
        <v>1297680</v>
      </c>
      <c r="G22" s="979">
        <f>'Chi tiết'!I51</f>
        <v>0</v>
      </c>
      <c r="H22" s="979">
        <f>'Chi tiết'!J51</f>
        <v>0</v>
      </c>
      <c r="I22" s="979">
        <f>'Chi tiết'!K51</f>
        <v>0</v>
      </c>
      <c r="J22" s="979">
        <f>'Chi tiết'!L51</f>
        <v>0</v>
      </c>
      <c r="K22" s="979">
        <f>'Chi tiết'!M51</f>
        <v>5157306.3459999999</v>
      </c>
      <c r="L22" s="979">
        <f>'Chi tiết'!N51</f>
        <v>493343</v>
      </c>
      <c r="M22" s="979">
        <f>'Chi tiết'!O51</f>
        <v>66340</v>
      </c>
      <c r="N22" s="979">
        <f>'Chi tiết'!P51</f>
        <v>71002</v>
      </c>
      <c r="O22" s="979">
        <f>'Chi tiết'!Q51</f>
        <v>242975</v>
      </c>
      <c r="P22" s="979">
        <f>'Chi tiết'!R51</f>
        <v>407340</v>
      </c>
      <c r="Q22" s="979">
        <f>'Chi tiết'!S51</f>
        <v>62503</v>
      </c>
      <c r="R22" s="979">
        <f>'Chi tiết'!T51</f>
        <v>446366.34600000002</v>
      </c>
      <c r="S22" s="979">
        <f>'Chi tiết'!U51</f>
        <v>301702</v>
      </c>
      <c r="T22" s="979">
        <f>'Chi tiết'!V51</f>
        <v>522285</v>
      </c>
      <c r="U22" s="979">
        <f>'Chi tiết'!W51</f>
        <v>180990</v>
      </c>
      <c r="V22" s="979">
        <f>'Chi tiết'!X51</f>
        <v>188730</v>
      </c>
      <c r="W22" s="979">
        <f>'Chi tiết'!Y51</f>
        <v>2173730</v>
      </c>
    </row>
    <row r="23" spans="1:23">
      <c r="A23" s="1376" t="s">
        <v>251</v>
      </c>
      <c r="B23" s="1373" t="s">
        <v>34</v>
      </c>
      <c r="C23" s="858" t="s">
        <v>18</v>
      </c>
      <c r="D23" s="1339">
        <f t="shared" si="1"/>
        <v>3199759.3459999999</v>
      </c>
      <c r="E23" s="1339">
        <f t="shared" si="5"/>
        <v>492700</v>
      </c>
      <c r="F23" s="979">
        <f>'Chi tiết'!H52</f>
        <v>492700</v>
      </c>
      <c r="G23" s="979">
        <f>'Chi tiết'!I52</f>
        <v>0</v>
      </c>
      <c r="H23" s="979">
        <f>'Chi tiết'!J52</f>
        <v>0</v>
      </c>
      <c r="I23" s="979">
        <f>'Chi tiết'!K52</f>
        <v>0</v>
      </c>
      <c r="J23" s="979">
        <f>'Chi tiết'!L52</f>
        <v>0</v>
      </c>
      <c r="K23" s="979">
        <f>'Chi tiết'!M52</f>
        <v>2707059.3459999999</v>
      </c>
      <c r="L23" s="979">
        <f>'Chi tiết'!N52</f>
        <v>449686</v>
      </c>
      <c r="M23" s="979">
        <f>'Chi tiết'!O52</f>
        <v>15862</v>
      </c>
      <c r="N23" s="979">
        <f>'Chi tiết'!P52</f>
        <v>22965</v>
      </c>
      <c r="O23" s="979">
        <f>'Chi tiết'!Q52</f>
        <v>6800</v>
      </c>
      <c r="P23" s="979">
        <f>'Chi tiết'!R52</f>
        <v>152180</v>
      </c>
      <c r="Q23" s="979">
        <f>'Chi tiết'!S52</f>
        <v>1470</v>
      </c>
      <c r="R23" s="979">
        <f>'Chi tiết'!T52</f>
        <v>11656.346</v>
      </c>
      <c r="S23" s="979">
        <f>'Chi tiết'!U52</f>
        <v>3340</v>
      </c>
      <c r="T23" s="979">
        <f>'Chi tiết'!V52</f>
        <v>22200</v>
      </c>
      <c r="U23" s="979">
        <f>'Chi tiết'!W52</f>
        <v>15350</v>
      </c>
      <c r="V23" s="979">
        <f>'Chi tiết'!X52</f>
        <v>2400</v>
      </c>
      <c r="W23" s="979">
        <f>'Chi tiết'!Y52</f>
        <v>2003150</v>
      </c>
    </row>
    <row r="24" spans="1:23">
      <c r="A24" s="1377" t="s">
        <v>252</v>
      </c>
      <c r="B24" s="1373" t="s">
        <v>34</v>
      </c>
      <c r="C24" s="858" t="s">
        <v>19</v>
      </c>
      <c r="D24" s="1339">
        <f t="shared" si="1"/>
        <v>325582</v>
      </c>
      <c r="E24" s="1339">
        <f t="shared" si="5"/>
        <v>235200</v>
      </c>
      <c r="F24" s="979">
        <f>'Chi tiết'!H77</f>
        <v>235200</v>
      </c>
      <c r="G24" s="979">
        <f>'Chi tiết'!I77</f>
        <v>0</v>
      </c>
      <c r="H24" s="979">
        <f>'Chi tiết'!J77</f>
        <v>0</v>
      </c>
      <c r="I24" s="979">
        <f>'Chi tiết'!K77</f>
        <v>0</v>
      </c>
      <c r="J24" s="979">
        <f>'Chi tiết'!L77</f>
        <v>0</v>
      </c>
      <c r="K24" s="979">
        <f>'Chi tiết'!M77</f>
        <v>90382</v>
      </c>
      <c r="L24" s="979">
        <f>'Chi tiết'!N77</f>
        <v>17000</v>
      </c>
      <c r="M24" s="979">
        <f>'Chi tiết'!O77</f>
        <v>2500</v>
      </c>
      <c r="N24" s="979">
        <f>'Chi tiết'!P77</f>
        <v>6220</v>
      </c>
      <c r="O24" s="979">
        <f>'Chi tiết'!Q77</f>
        <v>23000</v>
      </c>
      <c r="P24" s="979">
        <f>'Chi tiết'!R77</f>
        <v>4380</v>
      </c>
      <c r="Q24" s="979">
        <f>'Chi tiết'!S77</f>
        <v>1120</v>
      </c>
      <c r="R24" s="979">
        <f>'Chi tiết'!T77</f>
        <v>8100</v>
      </c>
      <c r="S24" s="979">
        <f>'Chi tiết'!U77</f>
        <v>7452</v>
      </c>
      <c r="T24" s="979">
        <f>'Chi tiết'!V77</f>
        <v>12700</v>
      </c>
      <c r="U24" s="979">
        <f>'Chi tiết'!W77</f>
        <v>3100</v>
      </c>
      <c r="V24" s="979">
        <f>'Chi tiết'!X77</f>
        <v>2160</v>
      </c>
      <c r="W24" s="979">
        <f>'Chi tiết'!Y77</f>
        <v>2650</v>
      </c>
    </row>
    <row r="25" spans="1:23">
      <c r="A25" s="1376" t="s">
        <v>253</v>
      </c>
      <c r="B25" s="1373" t="s">
        <v>34</v>
      </c>
      <c r="C25" s="858" t="s">
        <v>20</v>
      </c>
      <c r="D25" s="1339">
        <f t="shared" si="1"/>
        <v>338548</v>
      </c>
      <c r="E25" s="1339">
        <f t="shared" si="5"/>
        <v>109780</v>
      </c>
      <c r="F25" s="979">
        <f>'Chi tiết'!H96</f>
        <v>109780</v>
      </c>
      <c r="G25" s="979">
        <f>'Chi tiết'!I96</f>
        <v>0</v>
      </c>
      <c r="H25" s="979">
        <f>'Chi tiết'!J96</f>
        <v>0</v>
      </c>
      <c r="I25" s="979">
        <f>'Chi tiết'!K96</f>
        <v>0</v>
      </c>
      <c r="J25" s="979">
        <f>'Chi tiết'!L96</f>
        <v>0</v>
      </c>
      <c r="K25" s="979">
        <f>'Chi tiết'!M96</f>
        <v>228768</v>
      </c>
      <c r="L25" s="979">
        <f>'Chi tiết'!N96</f>
        <v>16683</v>
      </c>
      <c r="M25" s="979">
        <f>'Chi tiết'!O96</f>
        <v>15978</v>
      </c>
      <c r="N25" s="979">
        <f>'Chi tiết'!P96</f>
        <v>8259</v>
      </c>
      <c r="O25" s="979">
        <f>'Chi tiết'!Q96</f>
        <v>21600</v>
      </c>
      <c r="P25" s="979">
        <f>'Chi tiết'!R96</f>
        <v>14080</v>
      </c>
      <c r="Q25" s="979">
        <f>'Chi tiết'!S96</f>
        <v>12388</v>
      </c>
      <c r="R25" s="979">
        <f>'Chi tiết'!T96</f>
        <v>19960</v>
      </c>
      <c r="S25" s="979">
        <f>'Chi tiết'!U96</f>
        <v>33270</v>
      </c>
      <c r="T25" s="979">
        <f>'Chi tiết'!V96</f>
        <v>37500</v>
      </c>
      <c r="U25" s="979">
        <f>'Chi tiết'!W96</f>
        <v>5000</v>
      </c>
      <c r="V25" s="979">
        <f>'Chi tiết'!X96</f>
        <v>16800</v>
      </c>
      <c r="W25" s="979">
        <f>'Chi tiết'!Y96</f>
        <v>27250</v>
      </c>
    </row>
    <row r="26" spans="1:23" ht="24">
      <c r="A26" s="1376" t="s">
        <v>254</v>
      </c>
      <c r="B26" s="1373" t="s">
        <v>34</v>
      </c>
      <c r="C26" s="858" t="s">
        <v>21</v>
      </c>
      <c r="D26" s="1339">
        <f t="shared" si="1"/>
        <v>2591097</v>
      </c>
      <c r="E26" s="1339">
        <f t="shared" si="5"/>
        <v>460000</v>
      </c>
      <c r="F26" s="979">
        <f>'Chi tiết'!H117</f>
        <v>460000</v>
      </c>
      <c r="G26" s="979">
        <f>'Chi tiết'!I117</f>
        <v>0</v>
      </c>
      <c r="H26" s="979">
        <f>'Chi tiết'!J117</f>
        <v>0</v>
      </c>
      <c r="I26" s="979">
        <f>'Chi tiết'!K117</f>
        <v>0</v>
      </c>
      <c r="J26" s="979">
        <f>'Chi tiết'!L117</f>
        <v>0</v>
      </c>
      <c r="K26" s="979">
        <f>'Chi tiết'!M117</f>
        <v>2131097</v>
      </c>
      <c r="L26" s="979">
        <f>'Chi tiết'!N117</f>
        <v>9974</v>
      </c>
      <c r="M26" s="979">
        <f>'Chi tiết'!O117</f>
        <v>32000</v>
      </c>
      <c r="N26" s="979">
        <f>'Chi tiết'!P117</f>
        <v>33558</v>
      </c>
      <c r="O26" s="979">
        <f>'Chi tiết'!Q117</f>
        <v>191575</v>
      </c>
      <c r="P26" s="979">
        <f>'Chi tiết'!R117</f>
        <v>236700</v>
      </c>
      <c r="Q26" s="979">
        <f>'Chi tiết'!S117</f>
        <v>47525</v>
      </c>
      <c r="R26" s="979">
        <f>'Chi tiết'!T117</f>
        <v>406650</v>
      </c>
      <c r="S26" s="979">
        <f>'Chi tiết'!U117</f>
        <v>257640</v>
      </c>
      <c r="T26" s="979">
        <f>'Chi tiết'!V117</f>
        <v>449885</v>
      </c>
      <c r="U26" s="979">
        <f>'Chi tiết'!W117</f>
        <v>157540</v>
      </c>
      <c r="V26" s="979">
        <f>'Chi tiết'!X117</f>
        <v>167370</v>
      </c>
      <c r="W26" s="979">
        <f>'Chi tiết'!Y117</f>
        <v>140680</v>
      </c>
    </row>
    <row r="27" spans="1:23" ht="24">
      <c r="A27" s="1377">
        <v>3</v>
      </c>
      <c r="B27" s="1373" t="s">
        <v>34</v>
      </c>
      <c r="C27" s="1374" t="s">
        <v>235</v>
      </c>
      <c r="D27" s="1339">
        <f t="shared" si="1"/>
        <v>2052662.2039999999</v>
      </c>
      <c r="E27" s="1339">
        <f t="shared" si="5"/>
        <v>721080</v>
      </c>
      <c r="F27" s="979">
        <f>'Chi tiết'!H148</f>
        <v>721080</v>
      </c>
      <c r="G27" s="979">
        <f>'Chi tiết'!I148</f>
        <v>0</v>
      </c>
      <c r="H27" s="979">
        <f>'Chi tiết'!J148</f>
        <v>0</v>
      </c>
      <c r="I27" s="979">
        <f>'Chi tiết'!K148</f>
        <v>0</v>
      </c>
      <c r="J27" s="979">
        <f>'Chi tiết'!L148</f>
        <v>0</v>
      </c>
      <c r="K27" s="979">
        <f>'Chi tiết'!M148</f>
        <v>1331582.2039999999</v>
      </c>
      <c r="L27" s="979">
        <f>'Chi tiết'!N148</f>
        <v>173466</v>
      </c>
      <c r="M27" s="979">
        <f>'Chi tiết'!O148</f>
        <v>108594.204</v>
      </c>
      <c r="N27" s="979">
        <f>'Chi tiết'!P148</f>
        <v>109844</v>
      </c>
      <c r="O27" s="979">
        <f>'Chi tiết'!Q148</f>
        <v>129841</v>
      </c>
      <c r="P27" s="979">
        <f>'Chi tiết'!R148</f>
        <v>95786</v>
      </c>
      <c r="Q27" s="979">
        <f>'Chi tiết'!S148</f>
        <v>65890</v>
      </c>
      <c r="R27" s="979">
        <f>'Chi tiết'!T148</f>
        <v>103915</v>
      </c>
      <c r="S27" s="979">
        <f>'Chi tiết'!U148</f>
        <v>197720</v>
      </c>
      <c r="T27" s="979">
        <f>'Chi tiết'!V148</f>
        <v>178096</v>
      </c>
      <c r="U27" s="979">
        <f>'Chi tiết'!W148</f>
        <v>46380</v>
      </c>
      <c r="V27" s="979">
        <f>'Chi tiết'!X148</f>
        <v>20580</v>
      </c>
      <c r="W27" s="979">
        <f>'Chi tiết'!Y148</f>
        <v>101470</v>
      </c>
    </row>
    <row r="28" spans="1:23" ht="24">
      <c r="A28" s="1376" t="s">
        <v>245</v>
      </c>
      <c r="B28" s="1373" t="s">
        <v>34</v>
      </c>
      <c r="C28" s="858" t="s">
        <v>23</v>
      </c>
      <c r="D28" s="1339">
        <f t="shared" si="1"/>
        <v>280620</v>
      </c>
      <c r="E28" s="1339">
        <f t="shared" si="5"/>
        <v>62800</v>
      </c>
      <c r="F28" s="979">
        <f>'Chi tiết'!H149</f>
        <v>62800</v>
      </c>
      <c r="G28" s="979">
        <f>'Chi tiết'!I149</f>
        <v>0</v>
      </c>
      <c r="H28" s="979">
        <f>'Chi tiết'!J149</f>
        <v>0</v>
      </c>
      <c r="I28" s="979">
        <f>'Chi tiết'!K149</f>
        <v>0</v>
      </c>
      <c r="J28" s="979">
        <f>'Chi tiết'!L149</f>
        <v>0</v>
      </c>
      <c r="K28" s="979">
        <f>'Chi tiết'!M149</f>
        <v>217820</v>
      </c>
      <c r="L28" s="979">
        <f>'Chi tiết'!N149</f>
        <v>41700</v>
      </c>
      <c r="M28" s="979">
        <f>'Chi tiết'!O149</f>
        <v>51100</v>
      </c>
      <c r="N28" s="979">
        <f>'Chi tiết'!P149</f>
        <v>36360</v>
      </c>
      <c r="O28" s="979">
        <f>'Chi tiết'!Q149</f>
        <v>12600</v>
      </c>
      <c r="P28" s="979">
        <f>'Chi tiết'!R149</f>
        <v>17500</v>
      </c>
      <c r="Q28" s="979">
        <f>'Chi tiết'!S149</f>
        <v>1700</v>
      </c>
      <c r="R28" s="979">
        <f>'Chi tiết'!T149</f>
        <v>19560</v>
      </c>
      <c r="S28" s="979">
        <f>'Chi tiết'!U149</f>
        <v>14880</v>
      </c>
      <c r="T28" s="979">
        <f>'Chi tiết'!V149</f>
        <v>12760</v>
      </c>
      <c r="U28" s="979">
        <f>'Chi tiết'!W149</f>
        <v>7500</v>
      </c>
      <c r="V28" s="979">
        <f>'Chi tiết'!X149</f>
        <v>2160</v>
      </c>
      <c r="W28" s="979">
        <f>'Chi tiết'!Y149</f>
        <v>0</v>
      </c>
    </row>
    <row r="29" spans="1:23" ht="24">
      <c r="A29" s="1376" t="s">
        <v>246</v>
      </c>
      <c r="B29" s="1373" t="s">
        <v>34</v>
      </c>
      <c r="C29" s="858" t="s">
        <v>304</v>
      </c>
      <c r="D29" s="1339">
        <f t="shared" si="1"/>
        <v>378040</v>
      </c>
      <c r="E29" s="1339">
        <f t="shared" si="5"/>
        <v>181000</v>
      </c>
      <c r="F29" s="979">
        <f>'Chi tiết'!H162</f>
        <v>181000</v>
      </c>
      <c r="G29" s="979">
        <f>'Chi tiết'!I162</f>
        <v>0</v>
      </c>
      <c r="H29" s="979">
        <f>'Chi tiết'!J162</f>
        <v>0</v>
      </c>
      <c r="I29" s="979">
        <f>'Chi tiết'!K162</f>
        <v>0</v>
      </c>
      <c r="J29" s="979">
        <f>'Chi tiết'!L162</f>
        <v>0</v>
      </c>
      <c r="K29" s="979">
        <f>'Chi tiết'!M162</f>
        <v>197040</v>
      </c>
      <c r="L29" s="979">
        <f>'Chi tiết'!N162</f>
        <v>7875</v>
      </c>
      <c r="M29" s="979">
        <f>'Chi tiết'!O162</f>
        <v>2160</v>
      </c>
      <c r="N29" s="979">
        <f>'Chi tiết'!P162</f>
        <v>19180</v>
      </c>
      <c r="O29" s="979">
        <f>'Chi tiết'!Q162</f>
        <v>9750</v>
      </c>
      <c r="P29" s="979">
        <f>'Chi tiết'!R162</f>
        <v>32516</v>
      </c>
      <c r="Q29" s="979">
        <f>'Chi tiết'!S162</f>
        <v>30380</v>
      </c>
      <c r="R29" s="979">
        <f>'Chi tiết'!T162</f>
        <v>12135</v>
      </c>
      <c r="S29" s="979">
        <f>'Chi tiết'!U162</f>
        <v>14952</v>
      </c>
      <c r="T29" s="979">
        <f>'Chi tiết'!V162</f>
        <v>32472</v>
      </c>
      <c r="U29" s="979">
        <f>'Chi tiết'!W162</f>
        <v>10800</v>
      </c>
      <c r="V29" s="979">
        <f>'Chi tiết'!X162</f>
        <v>7440</v>
      </c>
      <c r="W29" s="979">
        <f>'Chi tiết'!Y162</f>
        <v>17380</v>
      </c>
    </row>
    <row r="30" spans="1:23" ht="24">
      <c r="A30" s="1376" t="s">
        <v>247</v>
      </c>
      <c r="B30" s="1373" t="s">
        <v>34</v>
      </c>
      <c r="C30" s="1374" t="s">
        <v>237</v>
      </c>
      <c r="D30" s="1339">
        <f t="shared" si="1"/>
        <v>1236302</v>
      </c>
      <c r="E30" s="1339">
        <f t="shared" si="5"/>
        <v>402280</v>
      </c>
      <c r="F30" s="979">
        <f>'Chi tiết'!H185</f>
        <v>402280</v>
      </c>
      <c r="G30" s="979">
        <f>'Chi tiết'!I185</f>
        <v>0</v>
      </c>
      <c r="H30" s="979">
        <f>'Chi tiết'!J185</f>
        <v>0</v>
      </c>
      <c r="I30" s="979">
        <f>'Chi tiết'!K185</f>
        <v>0</v>
      </c>
      <c r="J30" s="979">
        <f>'Chi tiết'!L185</f>
        <v>0</v>
      </c>
      <c r="K30" s="979">
        <f>'Chi tiết'!M185</f>
        <v>834022</v>
      </c>
      <c r="L30" s="979">
        <f>'Chi tiết'!N185</f>
        <v>81945</v>
      </c>
      <c r="M30" s="979">
        <f>'Chi tiết'!O185</f>
        <v>50900</v>
      </c>
      <c r="N30" s="979">
        <f>'Chi tiết'!P185</f>
        <v>52124</v>
      </c>
      <c r="O30" s="979">
        <f>'Chi tiết'!Q185</f>
        <v>102891</v>
      </c>
      <c r="P30" s="979">
        <f>'Chi tiết'!R185</f>
        <v>45770</v>
      </c>
      <c r="Q30" s="979">
        <f>'Chi tiết'!S185</f>
        <v>32330</v>
      </c>
      <c r="R30" s="979">
        <f>'Chi tiết'!T185</f>
        <v>61480</v>
      </c>
      <c r="S30" s="979">
        <f>'Chi tiết'!U185</f>
        <v>167888</v>
      </c>
      <c r="T30" s="979">
        <f>'Chi tiết'!V185</f>
        <v>128604</v>
      </c>
      <c r="U30" s="979">
        <f>'Chi tiết'!W185</f>
        <v>22030</v>
      </c>
      <c r="V30" s="979">
        <f>'Chi tiết'!X185</f>
        <v>7620</v>
      </c>
      <c r="W30" s="979">
        <f>'Chi tiết'!Y185</f>
        <v>80440</v>
      </c>
    </row>
    <row r="31" spans="1:23" ht="36">
      <c r="A31" s="1376" t="s">
        <v>828</v>
      </c>
      <c r="B31" s="1373" t="s">
        <v>34</v>
      </c>
      <c r="C31" s="858" t="s">
        <v>24</v>
      </c>
      <c r="D31" s="1339">
        <f t="shared" si="1"/>
        <v>157700.204</v>
      </c>
      <c r="E31" s="1339">
        <f t="shared" si="5"/>
        <v>75000</v>
      </c>
      <c r="F31" s="979">
        <f>'Chi tiết'!H204</f>
        <v>75000</v>
      </c>
      <c r="G31" s="979">
        <f>'Chi tiết'!I204</f>
        <v>0</v>
      </c>
      <c r="H31" s="979">
        <f>'Chi tiết'!J204</f>
        <v>0</v>
      </c>
      <c r="I31" s="979">
        <f>'Chi tiết'!K204</f>
        <v>0</v>
      </c>
      <c r="J31" s="979">
        <f>'Chi tiết'!L204</f>
        <v>0</v>
      </c>
      <c r="K31" s="979">
        <f>'Chi tiết'!M204</f>
        <v>82700.203999999998</v>
      </c>
      <c r="L31" s="979">
        <f>'Chi tiết'!N204</f>
        <v>41946</v>
      </c>
      <c r="M31" s="979">
        <f>'Chi tiết'!O204</f>
        <v>4434.2039999999997</v>
      </c>
      <c r="N31" s="979">
        <f>'Chi tiết'!P204</f>
        <v>2180</v>
      </c>
      <c r="O31" s="979">
        <f>'Chi tiết'!Q204</f>
        <v>4600</v>
      </c>
      <c r="P31" s="979">
        <f>'Chi tiết'!R204</f>
        <v>0</v>
      </c>
      <c r="Q31" s="979">
        <f>'Chi tiết'!S204</f>
        <v>1480</v>
      </c>
      <c r="R31" s="979">
        <f>'Chi tiết'!T204</f>
        <v>10740</v>
      </c>
      <c r="S31" s="979">
        <f>'Chi tiết'!U204</f>
        <v>0</v>
      </c>
      <c r="T31" s="979">
        <f>'Chi tiết'!V204</f>
        <v>4260</v>
      </c>
      <c r="U31" s="979">
        <f>'Chi tiết'!W204</f>
        <v>6050</v>
      </c>
      <c r="V31" s="979">
        <f>'Chi tiết'!X204</f>
        <v>3360</v>
      </c>
      <c r="W31" s="979">
        <f>'Chi tiết'!Y204</f>
        <v>3650</v>
      </c>
    </row>
    <row r="32" spans="1:23">
      <c r="A32" s="1377">
        <v>4</v>
      </c>
      <c r="B32" s="1373" t="s">
        <v>34</v>
      </c>
      <c r="C32" s="832" t="s">
        <v>240</v>
      </c>
      <c r="D32" s="1339">
        <f t="shared" si="1"/>
        <v>314298</v>
      </c>
      <c r="E32" s="1339">
        <f t="shared" si="5"/>
        <v>165000</v>
      </c>
      <c r="F32" s="979">
        <f>'Chi tiết'!H212</f>
        <v>165000</v>
      </c>
      <c r="G32" s="979">
        <f>'Chi tiết'!I212</f>
        <v>0</v>
      </c>
      <c r="H32" s="979">
        <f>'Chi tiết'!J212</f>
        <v>0</v>
      </c>
      <c r="I32" s="979">
        <f>'Chi tiết'!K212</f>
        <v>0</v>
      </c>
      <c r="J32" s="979">
        <f>'Chi tiết'!L212</f>
        <v>0</v>
      </c>
      <c r="K32" s="979">
        <f>'Chi tiết'!M212</f>
        <v>149298</v>
      </c>
      <c r="L32" s="979">
        <f>'Chi tiết'!N212</f>
        <v>9800</v>
      </c>
      <c r="M32" s="979">
        <f>'Chi tiết'!O212</f>
        <v>36200</v>
      </c>
      <c r="N32" s="979">
        <f>'Chi tiết'!P212</f>
        <v>4680</v>
      </c>
      <c r="O32" s="979">
        <f>'Chi tiết'!Q212</f>
        <v>6390</v>
      </c>
      <c r="P32" s="979">
        <f>'Chi tiết'!R212</f>
        <v>2820</v>
      </c>
      <c r="Q32" s="979">
        <f>'Chi tiết'!S212</f>
        <v>9010</v>
      </c>
      <c r="R32" s="979">
        <f>'Chi tiết'!T212</f>
        <v>12710</v>
      </c>
      <c r="S32" s="979">
        <f>'Chi tiết'!U212</f>
        <v>9700</v>
      </c>
      <c r="T32" s="979">
        <f>'Chi tiết'!V212</f>
        <v>13920</v>
      </c>
      <c r="U32" s="979">
        <f>'Chi tiết'!W212</f>
        <v>29828</v>
      </c>
      <c r="V32" s="979">
        <f>'Chi tiết'!X212</f>
        <v>6200</v>
      </c>
      <c r="W32" s="979">
        <f>'Chi tiết'!Y212</f>
        <v>8040</v>
      </c>
    </row>
    <row r="33" spans="1:23">
      <c r="A33" s="1375">
        <v>5</v>
      </c>
      <c r="B33" s="1373" t="s">
        <v>34</v>
      </c>
      <c r="C33" s="1374" t="s">
        <v>236</v>
      </c>
      <c r="D33" s="1339">
        <f t="shared" si="1"/>
        <v>11404126</v>
      </c>
      <c r="E33" s="1339">
        <f t="shared" si="5"/>
        <v>1230070</v>
      </c>
      <c r="F33" s="979">
        <f>'Chi tiết'!H232</f>
        <v>1230070</v>
      </c>
      <c r="G33" s="979">
        <f>'Chi tiết'!I232</f>
        <v>0</v>
      </c>
      <c r="H33" s="979">
        <f>'Chi tiết'!J232</f>
        <v>0</v>
      </c>
      <c r="I33" s="979">
        <f>'Chi tiết'!K232</f>
        <v>0</v>
      </c>
      <c r="J33" s="979">
        <f>'Chi tiết'!L232</f>
        <v>0</v>
      </c>
      <c r="K33" s="979">
        <f>'Chi tiết'!M232</f>
        <v>10174056</v>
      </c>
      <c r="L33" s="979">
        <f>'Chi tiết'!N232</f>
        <v>2372983</v>
      </c>
      <c r="M33" s="979">
        <f>'Chi tiết'!O232</f>
        <v>643210</v>
      </c>
      <c r="N33" s="979">
        <f>'Chi tiết'!P232</f>
        <v>801695</v>
      </c>
      <c r="O33" s="979">
        <f>'Chi tiết'!Q232</f>
        <v>1123086</v>
      </c>
      <c r="P33" s="979">
        <f>'Chi tiết'!R232</f>
        <v>1101526</v>
      </c>
      <c r="Q33" s="979">
        <f>'Chi tiết'!S232</f>
        <v>711665</v>
      </c>
      <c r="R33" s="979">
        <f>'Chi tiết'!T232</f>
        <v>762900</v>
      </c>
      <c r="S33" s="979">
        <f>'Chi tiết'!U232</f>
        <v>284308</v>
      </c>
      <c r="T33" s="979">
        <f>'Chi tiết'!V232</f>
        <v>864591</v>
      </c>
      <c r="U33" s="979">
        <f>'Chi tiết'!W232</f>
        <v>536240</v>
      </c>
      <c r="V33" s="979">
        <f>'Chi tiết'!X232</f>
        <v>471069</v>
      </c>
      <c r="W33" s="979">
        <f>'Chi tiết'!Y232</f>
        <v>500783</v>
      </c>
    </row>
    <row r="34" spans="1:23">
      <c r="A34" s="1378">
        <v>6</v>
      </c>
      <c r="B34" s="1378" t="s">
        <v>572</v>
      </c>
      <c r="C34" s="1379" t="s">
        <v>559</v>
      </c>
      <c r="D34" s="1339">
        <f>E34+K34</f>
        <v>16142224</v>
      </c>
      <c r="E34" s="1339">
        <f t="shared" si="5"/>
        <v>6228662</v>
      </c>
      <c r="F34" s="979">
        <f>'Chi tiết'!H263</f>
        <v>0</v>
      </c>
      <c r="G34" s="979">
        <f>'Chi tiết'!I263</f>
        <v>0</v>
      </c>
      <c r="H34" s="979">
        <f>'Chi tiết'!J263</f>
        <v>6228662</v>
      </c>
      <c r="I34" s="979">
        <f>'Chi tiết'!K263</f>
        <v>0</v>
      </c>
      <c r="J34" s="979">
        <f>'Chi tiết'!L263</f>
        <v>0</v>
      </c>
      <c r="K34" s="979">
        <f>'Chi tiết'!M263</f>
        <v>9913562</v>
      </c>
      <c r="L34" s="979">
        <f>'Chi tiết'!N263</f>
        <v>962276</v>
      </c>
      <c r="M34" s="979">
        <f>'Chi tiết'!O263</f>
        <v>330975</v>
      </c>
      <c r="N34" s="979">
        <f>'Chi tiết'!P263</f>
        <v>791760</v>
      </c>
      <c r="O34" s="979">
        <f>'Chi tiết'!Q263</f>
        <v>1370854</v>
      </c>
      <c r="P34" s="979">
        <f>'Chi tiết'!R263</f>
        <v>1092236</v>
      </c>
      <c r="Q34" s="979">
        <f>'Chi tiết'!S263</f>
        <v>712553</v>
      </c>
      <c r="R34" s="979">
        <f>'Chi tiết'!T263</f>
        <v>1352521</v>
      </c>
      <c r="S34" s="979">
        <f>'Chi tiết'!U263</f>
        <v>853806</v>
      </c>
      <c r="T34" s="979">
        <f>'Chi tiết'!V263</f>
        <v>945364</v>
      </c>
      <c r="U34" s="979">
        <f>'Chi tiết'!W263</f>
        <v>439444</v>
      </c>
      <c r="V34" s="979">
        <f>'Chi tiết'!X263</f>
        <v>586399</v>
      </c>
      <c r="W34" s="979">
        <f>'Chi tiết'!Y263</f>
        <v>475374</v>
      </c>
    </row>
    <row r="35" spans="1:23" ht="36">
      <c r="A35" s="1377">
        <v>7</v>
      </c>
      <c r="B35" s="1380" t="s">
        <v>4</v>
      </c>
      <c r="C35" s="858" t="s">
        <v>25</v>
      </c>
      <c r="D35" s="1339">
        <f t="shared" si="1"/>
        <v>598903</v>
      </c>
      <c r="E35" s="1339">
        <f t="shared" si="5"/>
        <v>196899</v>
      </c>
      <c r="F35" s="979">
        <f>'Chi tiết'!H313</f>
        <v>0</v>
      </c>
      <c r="G35" s="979">
        <f>'Chi tiết'!I313</f>
        <v>0</v>
      </c>
      <c r="H35" s="979">
        <f>'Chi tiết'!J313</f>
        <v>0</v>
      </c>
      <c r="I35" s="979">
        <f>'Chi tiết'!K313</f>
        <v>0</v>
      </c>
      <c r="J35" s="979">
        <f>'Chi tiết'!L313</f>
        <v>196899</v>
      </c>
      <c r="K35" s="979">
        <f>'Chi tiết'!M313</f>
        <v>402004</v>
      </c>
      <c r="L35" s="979">
        <f>'Chi tiết'!N313</f>
        <v>129971</v>
      </c>
      <c r="M35" s="979">
        <f>'Chi tiết'!O313</f>
        <v>8000</v>
      </c>
      <c r="N35" s="979">
        <f>'Chi tiết'!P313</f>
        <v>4678</v>
      </c>
      <c r="O35" s="979">
        <f>'Chi tiết'!Q313</f>
        <v>129000</v>
      </c>
      <c r="P35" s="979">
        <f>'Chi tiết'!R313</f>
        <v>24080</v>
      </c>
      <c r="Q35" s="979">
        <f>'Chi tiết'!S313</f>
        <v>26826</v>
      </c>
      <c r="R35" s="979">
        <f>'Chi tiết'!T313</f>
        <v>16829</v>
      </c>
      <c r="S35" s="979">
        <f>'Chi tiết'!U313</f>
        <v>0</v>
      </c>
      <c r="T35" s="979">
        <f>'Chi tiết'!V313</f>
        <v>3660</v>
      </c>
      <c r="U35" s="979">
        <f>'Chi tiết'!W313</f>
        <v>31950</v>
      </c>
      <c r="V35" s="979">
        <f>'Chi tiết'!X313</f>
        <v>5650</v>
      </c>
      <c r="W35" s="979">
        <f>'Chi tiết'!Y313</f>
        <v>21360</v>
      </c>
    </row>
    <row r="36" spans="1:23" ht="24">
      <c r="A36" s="1376">
        <v>8</v>
      </c>
      <c r="B36" s="1381" t="s">
        <v>34</v>
      </c>
      <c r="C36" s="1374" t="s">
        <v>533</v>
      </c>
      <c r="D36" s="1339">
        <f t="shared" si="1"/>
        <v>1815705.04</v>
      </c>
      <c r="E36" s="1339">
        <f t="shared" si="5"/>
        <v>260150</v>
      </c>
      <c r="F36" s="979">
        <f>'Chi tiết'!H325</f>
        <v>260150</v>
      </c>
      <c r="G36" s="979">
        <f>'Chi tiết'!I325</f>
        <v>0</v>
      </c>
      <c r="H36" s="979">
        <f>'Chi tiết'!J325</f>
        <v>0</v>
      </c>
      <c r="I36" s="979">
        <f>'Chi tiết'!K325</f>
        <v>0</v>
      </c>
      <c r="J36" s="979">
        <f>'Chi tiết'!L325</f>
        <v>0</v>
      </c>
      <c r="K36" s="979">
        <f>'Chi tiết'!M325</f>
        <v>1555555.04</v>
      </c>
      <c r="L36" s="979">
        <f>'Chi tiết'!N325</f>
        <v>229848</v>
      </c>
      <c r="M36" s="979">
        <f>'Chi tiết'!O325</f>
        <v>62900</v>
      </c>
      <c r="N36" s="979">
        <f>'Chi tiết'!P325</f>
        <v>143565</v>
      </c>
      <c r="O36" s="979">
        <f>'Chi tiết'!Q325</f>
        <v>35600</v>
      </c>
      <c r="P36" s="979">
        <f>'Chi tiết'!R325</f>
        <v>95136</v>
      </c>
      <c r="Q36" s="979">
        <f>'Chi tiết'!S325</f>
        <v>52040</v>
      </c>
      <c r="R36" s="979">
        <f>'Chi tiết'!T325</f>
        <v>17875</v>
      </c>
      <c r="S36" s="979">
        <f>'Chi tiết'!U325</f>
        <v>87264</v>
      </c>
      <c r="T36" s="979">
        <f>'Chi tiết'!V325</f>
        <v>666967.04000000004</v>
      </c>
      <c r="U36" s="979">
        <f>'Chi tiết'!W325</f>
        <v>66210</v>
      </c>
      <c r="V36" s="979">
        <f>'Chi tiết'!X325</f>
        <v>62650</v>
      </c>
      <c r="W36" s="979">
        <f>'Chi tiết'!Y325</f>
        <v>35500</v>
      </c>
    </row>
    <row r="37" spans="1:23" ht="24">
      <c r="A37" s="1376">
        <v>9</v>
      </c>
      <c r="B37" s="1381" t="s">
        <v>34</v>
      </c>
      <c r="C37" s="1374" t="s">
        <v>27</v>
      </c>
      <c r="D37" s="1339">
        <f t="shared" si="1"/>
        <v>1210007</v>
      </c>
      <c r="E37" s="1339">
        <f t="shared" si="5"/>
        <v>285000</v>
      </c>
      <c r="F37" s="979">
        <f>'Chi tiết'!H353</f>
        <v>285000</v>
      </c>
      <c r="G37" s="979">
        <f>'Chi tiết'!I353</f>
        <v>0</v>
      </c>
      <c r="H37" s="979">
        <f>'Chi tiết'!J353</f>
        <v>0</v>
      </c>
      <c r="I37" s="979">
        <f>'Chi tiết'!K353</f>
        <v>0</v>
      </c>
      <c r="J37" s="979">
        <f>'Chi tiết'!L353</f>
        <v>0</v>
      </c>
      <c r="K37" s="979">
        <f>'Chi tiết'!M353</f>
        <v>925007</v>
      </c>
      <c r="L37" s="979">
        <f>'Chi tiết'!N353</f>
        <v>61700</v>
      </c>
      <c r="M37" s="979">
        <f>'Chi tiết'!O353</f>
        <v>22000</v>
      </c>
      <c r="N37" s="979">
        <f>'Chi tiết'!P353</f>
        <v>50200</v>
      </c>
      <c r="O37" s="979">
        <f>'Chi tiết'!Q353</f>
        <v>20000</v>
      </c>
      <c r="P37" s="979">
        <f>'Chi tiết'!R353</f>
        <v>55594</v>
      </c>
      <c r="Q37" s="979">
        <f>'Chi tiết'!S353</f>
        <v>71495</v>
      </c>
      <c r="R37" s="979">
        <f>'Chi tiết'!T353</f>
        <v>164640</v>
      </c>
      <c r="S37" s="979">
        <f>'Chi tiết'!U353</f>
        <v>136378</v>
      </c>
      <c r="T37" s="979">
        <f>'Chi tiết'!V353</f>
        <v>142720</v>
      </c>
      <c r="U37" s="979">
        <f>'Chi tiết'!W353</f>
        <v>84680</v>
      </c>
      <c r="V37" s="979">
        <f>'Chi tiết'!X353</f>
        <v>76490</v>
      </c>
      <c r="W37" s="979">
        <f>'Chi tiết'!Y353</f>
        <v>39110</v>
      </c>
    </row>
    <row r="38" spans="1:23" ht="24">
      <c r="A38" s="1377" t="s">
        <v>259</v>
      </c>
      <c r="B38" s="1381" t="s">
        <v>34</v>
      </c>
      <c r="C38" s="1382" t="s">
        <v>129</v>
      </c>
      <c r="D38" s="1339">
        <f t="shared" si="1"/>
        <v>988897</v>
      </c>
      <c r="E38" s="1339">
        <f t="shared" si="5"/>
        <v>146000</v>
      </c>
      <c r="F38" s="979">
        <f>'Chi tiết'!H354</f>
        <v>146000</v>
      </c>
      <c r="G38" s="979">
        <f>'Chi tiết'!I354</f>
        <v>0</v>
      </c>
      <c r="H38" s="979">
        <f>'Chi tiết'!J354</f>
        <v>0</v>
      </c>
      <c r="I38" s="979">
        <f>'Chi tiết'!K354</f>
        <v>0</v>
      </c>
      <c r="J38" s="979">
        <f>'Chi tiết'!L354</f>
        <v>0</v>
      </c>
      <c r="K38" s="979">
        <f>'Chi tiết'!M354</f>
        <v>842897</v>
      </c>
      <c r="L38" s="979">
        <f>'Chi tiết'!N354</f>
        <v>51600</v>
      </c>
      <c r="M38" s="979">
        <f>'Chi tiết'!O354</f>
        <v>19000</v>
      </c>
      <c r="N38" s="979">
        <f>'Chi tiết'!P354</f>
        <v>47200</v>
      </c>
      <c r="O38" s="979">
        <f>'Chi tiết'!Q354</f>
        <v>16500</v>
      </c>
      <c r="P38" s="979">
        <f>'Chi tiết'!R354</f>
        <v>52094</v>
      </c>
      <c r="Q38" s="979">
        <f>'Chi tiết'!S354</f>
        <v>55865</v>
      </c>
      <c r="R38" s="979">
        <f>'Chi tiết'!T354</f>
        <v>156340</v>
      </c>
      <c r="S38" s="979">
        <f>'Chi tiết'!U354</f>
        <v>127178</v>
      </c>
      <c r="T38" s="979">
        <f>'Chi tiết'!V354</f>
        <v>135960</v>
      </c>
      <c r="U38" s="979">
        <f>'Chi tiết'!W354</f>
        <v>76960</v>
      </c>
      <c r="V38" s="979">
        <f>'Chi tiết'!X354</f>
        <v>70990</v>
      </c>
      <c r="W38" s="979">
        <f>'Chi tiết'!Y354</f>
        <v>33210</v>
      </c>
    </row>
    <row r="39" spans="1:23">
      <c r="A39" s="1377" t="s">
        <v>260</v>
      </c>
      <c r="B39" s="1381" t="s">
        <v>34</v>
      </c>
      <c r="C39" s="1382" t="s">
        <v>130</v>
      </c>
      <c r="D39" s="1339">
        <f t="shared" si="1"/>
        <v>221110</v>
      </c>
      <c r="E39" s="1339">
        <f t="shared" si="5"/>
        <v>139000</v>
      </c>
      <c r="F39" s="979">
        <f>'Chi tiết'!H373</f>
        <v>139000</v>
      </c>
      <c r="G39" s="979">
        <f>'Chi tiết'!I373</f>
        <v>0</v>
      </c>
      <c r="H39" s="979">
        <f>'Chi tiết'!J373</f>
        <v>0</v>
      </c>
      <c r="I39" s="979">
        <f>'Chi tiết'!K373</f>
        <v>0</v>
      </c>
      <c r="J39" s="979">
        <f>'Chi tiết'!L373</f>
        <v>0</v>
      </c>
      <c r="K39" s="979">
        <f>'Chi tiết'!M373</f>
        <v>82110</v>
      </c>
      <c r="L39" s="979">
        <f>'Chi tiết'!N373</f>
        <v>10100</v>
      </c>
      <c r="M39" s="979">
        <f>'Chi tiết'!O373</f>
        <v>3000</v>
      </c>
      <c r="N39" s="979">
        <f>'Chi tiết'!P373</f>
        <v>3000</v>
      </c>
      <c r="O39" s="979">
        <f>'Chi tiết'!Q373</f>
        <v>3500</v>
      </c>
      <c r="P39" s="979">
        <f>'Chi tiết'!R373</f>
        <v>3500</v>
      </c>
      <c r="Q39" s="979">
        <f>'Chi tiết'!S373</f>
        <v>15630</v>
      </c>
      <c r="R39" s="979">
        <f>'Chi tiết'!T373</f>
        <v>8300</v>
      </c>
      <c r="S39" s="979">
        <f>'Chi tiết'!U373</f>
        <v>9200</v>
      </c>
      <c r="T39" s="979">
        <f>'Chi tiết'!V373</f>
        <v>6760</v>
      </c>
      <c r="U39" s="979">
        <f>'Chi tiết'!W373</f>
        <v>7720</v>
      </c>
      <c r="V39" s="979">
        <f>'Chi tiết'!X373</f>
        <v>5500</v>
      </c>
      <c r="W39" s="979">
        <f>'Chi tiết'!Y373</f>
        <v>5900</v>
      </c>
    </row>
    <row r="40" spans="1:23">
      <c r="A40" s="1375">
        <v>10</v>
      </c>
      <c r="B40" s="1381" t="s">
        <v>34</v>
      </c>
      <c r="C40" s="1374" t="s">
        <v>238</v>
      </c>
      <c r="D40" s="1339">
        <f t="shared" si="1"/>
        <v>2294947</v>
      </c>
      <c r="E40" s="1339">
        <f t="shared" si="5"/>
        <v>1677860</v>
      </c>
      <c r="F40" s="979">
        <f>'Chi tiết'!H379</f>
        <v>320000</v>
      </c>
      <c r="G40" s="979">
        <f>'Chi tiết'!I379</f>
        <v>1357860</v>
      </c>
      <c r="H40" s="979">
        <f>'Chi tiết'!J379</f>
        <v>0</v>
      </c>
      <c r="I40" s="979">
        <f>'Chi tiết'!K379</f>
        <v>0</v>
      </c>
      <c r="J40" s="979">
        <f>'Chi tiết'!L379</f>
        <v>0</v>
      </c>
      <c r="K40" s="979">
        <f>'Chi tiết'!M379</f>
        <v>617087</v>
      </c>
      <c r="L40" s="979">
        <f>'Chi tiết'!N379</f>
        <v>123400</v>
      </c>
      <c r="M40" s="979">
        <f>'Chi tiết'!O379</f>
        <v>90000</v>
      </c>
      <c r="N40" s="979">
        <f>'Chi tiết'!P379</f>
        <v>8700</v>
      </c>
      <c r="O40" s="979">
        <f>'Chi tiết'!Q379</f>
        <v>24220</v>
      </c>
      <c r="P40" s="979">
        <f>'Chi tiết'!R379</f>
        <v>55180</v>
      </c>
      <c r="Q40" s="979">
        <f>'Chi tiết'!S379</f>
        <v>42000</v>
      </c>
      <c r="R40" s="979">
        <f>'Chi tiết'!T379</f>
        <v>4547</v>
      </c>
      <c r="S40" s="979">
        <f>'Chi tiết'!U379</f>
        <v>32440</v>
      </c>
      <c r="T40" s="979">
        <f>'Chi tiết'!V379</f>
        <v>41826</v>
      </c>
      <c r="U40" s="979">
        <f>'Chi tiết'!W379</f>
        <v>34010</v>
      </c>
      <c r="V40" s="979">
        <f>'Chi tiết'!X379</f>
        <v>85764</v>
      </c>
      <c r="W40" s="979">
        <f>'Chi tiết'!Y379</f>
        <v>75000</v>
      </c>
    </row>
    <row r="41" spans="1:23" ht="36">
      <c r="A41" s="1376" t="s">
        <v>583</v>
      </c>
      <c r="B41" s="1381" t="s">
        <v>34</v>
      </c>
      <c r="C41" s="1374" t="s">
        <v>28</v>
      </c>
      <c r="D41" s="1339">
        <f t="shared" si="1"/>
        <v>20000</v>
      </c>
      <c r="E41" s="1339">
        <f t="shared" si="5"/>
        <v>20000</v>
      </c>
      <c r="F41" s="979">
        <f>'Chi tiết'!H380</f>
        <v>20000</v>
      </c>
      <c r="G41" s="979">
        <f>'Chi tiết'!I380</f>
        <v>0</v>
      </c>
      <c r="H41" s="979">
        <f>'Chi tiết'!J380</f>
        <v>0</v>
      </c>
      <c r="I41" s="979">
        <f>'Chi tiết'!K380</f>
        <v>0</v>
      </c>
      <c r="J41" s="979">
        <f>'Chi tiết'!L380</f>
        <v>0</v>
      </c>
      <c r="K41" s="979">
        <f>'Chi tiết'!M380</f>
        <v>0</v>
      </c>
      <c r="L41" s="979">
        <f>'Chi tiết'!N380</f>
        <v>0</v>
      </c>
      <c r="M41" s="979">
        <f>'Chi tiết'!O380</f>
        <v>0</v>
      </c>
      <c r="N41" s="979">
        <f>'Chi tiết'!P380</f>
        <v>0</v>
      </c>
      <c r="O41" s="979">
        <f>'Chi tiết'!Q380</f>
        <v>0</v>
      </c>
      <c r="P41" s="979">
        <f>'Chi tiết'!R380</f>
        <v>0</v>
      </c>
      <c r="Q41" s="979">
        <f>'Chi tiết'!S380</f>
        <v>0</v>
      </c>
      <c r="R41" s="979">
        <f>'Chi tiết'!T380</f>
        <v>0</v>
      </c>
      <c r="S41" s="979">
        <f>'Chi tiết'!U380</f>
        <v>0</v>
      </c>
      <c r="T41" s="979">
        <f>'Chi tiết'!V380</f>
        <v>0</v>
      </c>
      <c r="U41" s="979">
        <f>'Chi tiết'!W380</f>
        <v>0</v>
      </c>
      <c r="V41" s="979">
        <f>'Chi tiết'!X380</f>
        <v>0</v>
      </c>
      <c r="W41" s="979">
        <f>'Chi tiết'!Y380</f>
        <v>0</v>
      </c>
    </row>
    <row r="42" spans="1:23">
      <c r="A42" s="1383" t="s">
        <v>584</v>
      </c>
      <c r="B42" s="1381" t="s">
        <v>1</v>
      </c>
      <c r="C42" s="918"/>
      <c r="D42" s="1339">
        <f t="shared" si="1"/>
        <v>1974947</v>
      </c>
      <c r="E42" s="1339">
        <f t="shared" si="5"/>
        <v>1357860</v>
      </c>
      <c r="F42" s="979">
        <f>'Chi tiết'!H385</f>
        <v>0</v>
      </c>
      <c r="G42" s="979">
        <f>'Chi tiết'!I385</f>
        <v>1357860</v>
      </c>
      <c r="H42" s="979">
        <f>'Chi tiết'!J385</f>
        <v>0</v>
      </c>
      <c r="I42" s="979">
        <f>'Chi tiết'!K385</f>
        <v>0</v>
      </c>
      <c r="J42" s="979">
        <f>'Chi tiết'!L385</f>
        <v>0</v>
      </c>
      <c r="K42" s="979">
        <f>'Chi tiết'!M385</f>
        <v>617087</v>
      </c>
      <c r="L42" s="979">
        <f>'Chi tiết'!N385</f>
        <v>123400</v>
      </c>
      <c r="M42" s="979">
        <f>'Chi tiết'!O385</f>
        <v>90000</v>
      </c>
      <c r="N42" s="979">
        <f>'Chi tiết'!P385</f>
        <v>8700</v>
      </c>
      <c r="O42" s="979">
        <f>'Chi tiết'!Q385</f>
        <v>24220</v>
      </c>
      <c r="P42" s="979">
        <f>'Chi tiết'!R385</f>
        <v>55180</v>
      </c>
      <c r="Q42" s="979">
        <f>'Chi tiết'!S385</f>
        <v>42000</v>
      </c>
      <c r="R42" s="979">
        <f>'Chi tiết'!T385</f>
        <v>4547</v>
      </c>
      <c r="S42" s="979">
        <f>'Chi tiết'!U385</f>
        <v>32440</v>
      </c>
      <c r="T42" s="979">
        <f>'Chi tiết'!V385</f>
        <v>41826</v>
      </c>
      <c r="U42" s="979">
        <f>'Chi tiết'!W385</f>
        <v>34010</v>
      </c>
      <c r="V42" s="979">
        <f>'Chi tiết'!X385</f>
        <v>85764</v>
      </c>
      <c r="W42" s="979">
        <f>'Chi tiết'!Y385</f>
        <v>75000</v>
      </c>
    </row>
    <row r="43" spans="1:23" ht="36">
      <c r="A43" s="1376" t="s">
        <v>255</v>
      </c>
      <c r="B43" s="1381" t="s">
        <v>34</v>
      </c>
      <c r="C43" s="858" t="s">
        <v>30</v>
      </c>
      <c r="D43" s="1339">
        <f t="shared" si="1"/>
        <v>300000</v>
      </c>
      <c r="E43" s="1339">
        <f t="shared" si="5"/>
        <v>300000</v>
      </c>
      <c r="F43" s="979">
        <f>'Chi tiết'!H395</f>
        <v>300000</v>
      </c>
      <c r="G43" s="979">
        <f>'Chi tiết'!I395</f>
        <v>0</v>
      </c>
      <c r="H43" s="979">
        <f>'Chi tiết'!J395</f>
        <v>0</v>
      </c>
      <c r="I43" s="979">
        <f>'Chi tiết'!K395</f>
        <v>0</v>
      </c>
      <c r="J43" s="979">
        <f>'Chi tiết'!L395</f>
        <v>0</v>
      </c>
      <c r="K43" s="979">
        <f>'Chi tiết'!M395</f>
        <v>0</v>
      </c>
      <c r="L43" s="979">
        <f>'Chi tiết'!N395</f>
        <v>0</v>
      </c>
      <c r="M43" s="979">
        <f>'Chi tiết'!O395</f>
        <v>0</v>
      </c>
      <c r="N43" s="979">
        <f>'Chi tiết'!P395</f>
        <v>0</v>
      </c>
      <c r="O43" s="979">
        <f>'Chi tiết'!Q395</f>
        <v>0</v>
      </c>
      <c r="P43" s="979">
        <f>'Chi tiết'!R395</f>
        <v>0</v>
      </c>
      <c r="Q43" s="979">
        <f>'Chi tiết'!S395</f>
        <v>0</v>
      </c>
      <c r="R43" s="979">
        <f>'Chi tiết'!T395</f>
        <v>0</v>
      </c>
      <c r="S43" s="979">
        <f>'Chi tiết'!U395</f>
        <v>0</v>
      </c>
      <c r="T43" s="979">
        <f>'Chi tiết'!V395</f>
        <v>0</v>
      </c>
      <c r="U43" s="979">
        <f>'Chi tiết'!W395</f>
        <v>0</v>
      </c>
      <c r="V43" s="979">
        <f>'Chi tiết'!X395</f>
        <v>0</v>
      </c>
      <c r="W43" s="979">
        <f>'Chi tiết'!Y395</f>
        <v>0</v>
      </c>
    </row>
    <row r="44" spans="1:23">
      <c r="A44" s="1375">
        <v>11</v>
      </c>
      <c r="B44" s="1381" t="s">
        <v>34</v>
      </c>
      <c r="C44" s="1374" t="s">
        <v>312</v>
      </c>
      <c r="D44" s="1339">
        <f t="shared" si="1"/>
        <v>3742086</v>
      </c>
      <c r="E44" s="1339">
        <f t="shared" si="5"/>
        <v>2713000</v>
      </c>
      <c r="F44" s="979">
        <f>'Chi tiết'!H405</f>
        <v>2713000</v>
      </c>
      <c r="G44" s="979">
        <f>'Chi tiết'!I405</f>
        <v>0</v>
      </c>
      <c r="H44" s="979">
        <f>'Chi tiết'!J405</f>
        <v>0</v>
      </c>
      <c r="I44" s="979">
        <f>'Chi tiết'!K405</f>
        <v>0</v>
      </c>
      <c r="J44" s="979">
        <f>'Chi tiết'!L405</f>
        <v>0</v>
      </c>
      <c r="K44" s="979">
        <f>'Chi tiết'!M405</f>
        <v>1029086</v>
      </c>
      <c r="L44" s="979">
        <f>'Chi tiết'!N405</f>
        <v>179400</v>
      </c>
      <c r="M44" s="979">
        <f>'Chi tiết'!O405</f>
        <v>36000</v>
      </c>
      <c r="N44" s="979">
        <f>'Chi tiết'!P405</f>
        <v>2400</v>
      </c>
      <c r="O44" s="979">
        <f>'Chi tiết'!Q405</f>
        <v>43390</v>
      </c>
      <c r="P44" s="979">
        <f>'Chi tiết'!R405</f>
        <v>63376</v>
      </c>
      <c r="Q44" s="979">
        <f>'Chi tiết'!S405</f>
        <v>72110</v>
      </c>
      <c r="R44" s="979">
        <f>'Chi tiết'!T405</f>
        <v>90500</v>
      </c>
      <c r="S44" s="979">
        <f>'Chi tiết'!U405</f>
        <v>106130</v>
      </c>
      <c r="T44" s="979">
        <f>'Chi tiết'!V405</f>
        <v>230620</v>
      </c>
      <c r="U44" s="979">
        <f>'Chi tiết'!W405</f>
        <v>28000</v>
      </c>
      <c r="V44" s="979">
        <f>'Chi tiết'!X405</f>
        <v>94116</v>
      </c>
      <c r="W44" s="979">
        <f>'Chi tiết'!Y405</f>
        <v>83044</v>
      </c>
    </row>
    <row r="45" spans="1:23" ht="24">
      <c r="A45" s="1384">
        <v>12</v>
      </c>
      <c r="B45" s="1381" t="s">
        <v>34</v>
      </c>
      <c r="C45" s="1385" t="s">
        <v>22</v>
      </c>
      <c r="D45" s="1339">
        <f t="shared" si="1"/>
        <v>1879464.2</v>
      </c>
      <c r="E45" s="1339">
        <f t="shared" si="5"/>
        <v>380000</v>
      </c>
      <c r="F45" s="979">
        <f>'Chi tiết'!H428</f>
        <v>380000</v>
      </c>
      <c r="G45" s="979">
        <f>'Chi tiết'!I428</f>
        <v>0</v>
      </c>
      <c r="H45" s="979">
        <f>'Chi tiết'!J428</f>
        <v>0</v>
      </c>
      <c r="I45" s="979">
        <f>'Chi tiết'!K428</f>
        <v>0</v>
      </c>
      <c r="J45" s="979">
        <f>'Chi tiết'!L428</f>
        <v>0</v>
      </c>
      <c r="K45" s="979">
        <f>'Chi tiết'!M428</f>
        <v>1499464.2</v>
      </c>
      <c r="L45" s="979">
        <f>'Chi tiết'!N428</f>
        <v>485643</v>
      </c>
      <c r="M45" s="979">
        <f>'Chi tiết'!O428</f>
        <v>37314</v>
      </c>
      <c r="N45" s="979">
        <f>'Chi tiết'!P428</f>
        <v>20344</v>
      </c>
      <c r="O45" s="979">
        <f>'Chi tiết'!Q428</f>
        <v>109438</v>
      </c>
      <c r="P45" s="979">
        <f>'Chi tiết'!R428</f>
        <v>138000</v>
      </c>
      <c r="Q45" s="979">
        <f>'Chi tiết'!S428</f>
        <v>41214.199999999997</v>
      </c>
      <c r="R45" s="979">
        <f>'Chi tiết'!T428</f>
        <v>109104</v>
      </c>
      <c r="S45" s="979">
        <f>'Chi tiết'!U428</f>
        <v>178678</v>
      </c>
      <c r="T45" s="979">
        <f>'Chi tiết'!V428</f>
        <v>152189</v>
      </c>
      <c r="U45" s="979">
        <f>'Chi tiết'!W428</f>
        <v>110300</v>
      </c>
      <c r="V45" s="979">
        <f>'Chi tiết'!X428</f>
        <v>57500</v>
      </c>
      <c r="W45" s="979">
        <f>'Chi tiết'!Y428</f>
        <v>59740</v>
      </c>
    </row>
    <row r="46" spans="1:23" ht="24">
      <c r="A46" s="1375">
        <v>13</v>
      </c>
      <c r="B46" s="1386" t="s">
        <v>582</v>
      </c>
      <c r="C46" s="1387" t="s">
        <v>256</v>
      </c>
      <c r="D46" s="1339">
        <f t="shared" si="1"/>
        <v>100000</v>
      </c>
      <c r="E46" s="1339">
        <f t="shared" si="5"/>
        <v>100000</v>
      </c>
      <c r="F46" s="979">
        <f>'Chi tiết'!H440</f>
        <v>0</v>
      </c>
      <c r="G46" s="979">
        <f>'Chi tiết'!I440</f>
        <v>0</v>
      </c>
      <c r="H46" s="979">
        <f>'Chi tiết'!J440</f>
        <v>0</v>
      </c>
      <c r="I46" s="979">
        <f>'Chi tiết'!K440</f>
        <v>100000</v>
      </c>
      <c r="J46" s="979">
        <f>'Chi tiết'!L440</f>
        <v>0</v>
      </c>
      <c r="K46" s="979">
        <f>'Chi tiết'!M440</f>
        <v>0</v>
      </c>
      <c r="L46" s="979">
        <f>'Chi tiết'!N440</f>
        <v>0</v>
      </c>
      <c r="M46" s="979">
        <f>'Chi tiết'!O440</f>
        <v>0</v>
      </c>
      <c r="N46" s="979">
        <f>'Chi tiết'!P440</f>
        <v>0</v>
      </c>
      <c r="O46" s="979">
        <f>'Chi tiết'!Q440</f>
        <v>0</v>
      </c>
      <c r="P46" s="979">
        <f>'Chi tiết'!R440</f>
        <v>0</v>
      </c>
      <c r="Q46" s="979">
        <f>'Chi tiết'!S440</f>
        <v>0</v>
      </c>
      <c r="R46" s="979">
        <f>'Chi tiết'!T440</f>
        <v>0</v>
      </c>
      <c r="S46" s="979">
        <f>'Chi tiết'!U440</f>
        <v>0</v>
      </c>
      <c r="T46" s="979">
        <f>'Chi tiết'!V440</f>
        <v>0</v>
      </c>
      <c r="U46" s="979">
        <f>'Chi tiết'!W440</f>
        <v>0</v>
      </c>
      <c r="V46" s="979">
        <f>'Chi tiết'!X440</f>
        <v>0</v>
      </c>
      <c r="W46" s="979">
        <f>'Chi tiết'!Y440</f>
        <v>0</v>
      </c>
    </row>
    <row r="47" spans="1:23">
      <c r="A47" s="1375">
        <v>14</v>
      </c>
      <c r="B47" s="1386" t="s">
        <v>582</v>
      </c>
      <c r="C47" s="1387" t="s">
        <v>239</v>
      </c>
      <c r="D47" s="1339">
        <f t="shared" si="1"/>
        <v>104920</v>
      </c>
      <c r="E47" s="1339">
        <f t="shared" si="5"/>
        <v>104920</v>
      </c>
      <c r="F47" s="979">
        <f>'Chi tiết'!H442</f>
        <v>0</v>
      </c>
      <c r="G47" s="979">
        <f>'Chi tiết'!I442</f>
        <v>0</v>
      </c>
      <c r="H47" s="979">
        <f>'Chi tiết'!J442</f>
        <v>0</v>
      </c>
      <c r="I47" s="979">
        <f>'Chi tiết'!K442</f>
        <v>104920</v>
      </c>
      <c r="J47" s="979">
        <f>'Chi tiết'!L442</f>
        <v>0</v>
      </c>
      <c r="K47" s="979">
        <f>'Chi tiết'!M442</f>
        <v>0</v>
      </c>
      <c r="L47" s="979">
        <f>'Chi tiết'!N442</f>
        <v>0</v>
      </c>
      <c r="M47" s="979">
        <f>'Chi tiết'!O442</f>
        <v>0</v>
      </c>
      <c r="N47" s="979">
        <f>'Chi tiết'!P442</f>
        <v>0</v>
      </c>
      <c r="O47" s="979">
        <f>'Chi tiết'!Q442</f>
        <v>0</v>
      </c>
      <c r="P47" s="979">
        <f>'Chi tiết'!R442</f>
        <v>0</v>
      </c>
      <c r="Q47" s="979">
        <f>'Chi tiết'!S442</f>
        <v>0</v>
      </c>
      <c r="R47" s="979">
        <f>'Chi tiết'!T442</f>
        <v>0</v>
      </c>
      <c r="S47" s="979">
        <f>'Chi tiết'!U442</f>
        <v>0</v>
      </c>
      <c r="T47" s="979">
        <f>'Chi tiết'!V442</f>
        <v>0</v>
      </c>
      <c r="U47" s="979">
        <f>'Chi tiết'!W442</f>
        <v>0</v>
      </c>
      <c r="V47" s="979">
        <f>'Chi tiết'!X442</f>
        <v>0</v>
      </c>
      <c r="W47" s="979">
        <f>'Chi tiết'!Y442</f>
        <v>0</v>
      </c>
    </row>
    <row r="48" spans="1:23" ht="36">
      <c r="A48" s="1376">
        <v>15</v>
      </c>
      <c r="B48" s="1381" t="s">
        <v>34</v>
      </c>
      <c r="C48" s="941" t="s">
        <v>32</v>
      </c>
      <c r="D48" s="1339">
        <f t="shared" si="1"/>
        <v>355850</v>
      </c>
      <c r="E48" s="1339">
        <f t="shared" si="5"/>
        <v>217000</v>
      </c>
      <c r="F48" s="979">
        <f>'Chi tiết'!H446</f>
        <v>217000</v>
      </c>
      <c r="G48" s="979">
        <f>'Chi tiết'!I446</f>
        <v>0</v>
      </c>
      <c r="H48" s="979">
        <f>'Chi tiết'!J446</f>
        <v>0</v>
      </c>
      <c r="I48" s="979">
        <f>'Chi tiết'!K446</f>
        <v>0</v>
      </c>
      <c r="J48" s="979">
        <f>'Chi tiết'!L446</f>
        <v>0</v>
      </c>
      <c r="K48" s="979">
        <f>'Chi tiết'!M446</f>
        <v>138850</v>
      </c>
      <c r="L48" s="979">
        <f>'Chi tiết'!N446</f>
        <v>11120</v>
      </c>
      <c r="M48" s="979">
        <f>'Chi tiết'!O446</f>
        <v>12000</v>
      </c>
      <c r="N48" s="979">
        <f>'Chi tiết'!P446</f>
        <v>25160</v>
      </c>
      <c r="O48" s="979">
        <f>'Chi tiết'!Q446</f>
        <v>19000</v>
      </c>
      <c r="P48" s="979">
        <f>'Chi tiết'!R446</f>
        <v>0</v>
      </c>
      <c r="Q48" s="979">
        <f>'Chi tiết'!S446</f>
        <v>1840</v>
      </c>
      <c r="R48" s="979">
        <f>'Chi tiết'!T446</f>
        <v>20520</v>
      </c>
      <c r="S48" s="979">
        <f>'Chi tiết'!U446</f>
        <v>1220</v>
      </c>
      <c r="T48" s="979">
        <f>'Chi tiết'!V446</f>
        <v>4390</v>
      </c>
      <c r="U48" s="979">
        <f>'Chi tiết'!W446</f>
        <v>26000</v>
      </c>
      <c r="V48" s="979">
        <f>'Chi tiết'!X446</f>
        <v>6440</v>
      </c>
      <c r="W48" s="979">
        <f>'Chi tiết'!Y446</f>
        <v>11160</v>
      </c>
    </row>
    <row r="49" spans="1:23">
      <c r="A49" s="1376">
        <v>16</v>
      </c>
      <c r="B49" s="1381" t="s">
        <v>34</v>
      </c>
      <c r="C49" s="941" t="s">
        <v>257</v>
      </c>
      <c r="D49" s="1339">
        <f t="shared" si="1"/>
        <v>430000</v>
      </c>
      <c r="E49" s="1339">
        <f t="shared" si="5"/>
        <v>430000</v>
      </c>
      <c r="F49" s="979">
        <f>'Chi tiết'!H458</f>
        <v>430000</v>
      </c>
      <c r="G49" s="979">
        <f>'Chi tiết'!I458</f>
        <v>0</v>
      </c>
      <c r="H49" s="979">
        <f>'Chi tiết'!J458</f>
        <v>0</v>
      </c>
      <c r="I49" s="979">
        <f>'Chi tiết'!K458</f>
        <v>0</v>
      </c>
      <c r="J49" s="979">
        <f>'Chi tiết'!L458</f>
        <v>0</v>
      </c>
      <c r="K49" s="979">
        <f>'Chi tiết'!M458</f>
        <v>0</v>
      </c>
      <c r="L49" s="979">
        <f>'Chi tiết'!N458</f>
        <v>0</v>
      </c>
      <c r="M49" s="979">
        <f>'Chi tiết'!O458</f>
        <v>0</v>
      </c>
      <c r="N49" s="979">
        <f>'Chi tiết'!P458</f>
        <v>0</v>
      </c>
      <c r="O49" s="979">
        <f>'Chi tiết'!Q458</f>
        <v>0</v>
      </c>
      <c r="P49" s="979">
        <f>'Chi tiết'!R458</f>
        <v>0</v>
      </c>
      <c r="Q49" s="979">
        <f>'Chi tiết'!S458</f>
        <v>0</v>
      </c>
      <c r="R49" s="979">
        <f>'Chi tiết'!T458</f>
        <v>0</v>
      </c>
      <c r="S49" s="979">
        <f>'Chi tiết'!U458</f>
        <v>0</v>
      </c>
      <c r="T49" s="979">
        <f>'Chi tiết'!V458</f>
        <v>0</v>
      </c>
      <c r="U49" s="979">
        <f>'Chi tiết'!W458</f>
        <v>0</v>
      </c>
      <c r="V49" s="979">
        <f>'Chi tiết'!X458</f>
        <v>0</v>
      </c>
      <c r="W49" s="979">
        <f>'Chi tiết'!Y458</f>
        <v>0</v>
      </c>
    </row>
    <row r="50" spans="1:23" ht="24">
      <c r="A50" s="1376">
        <v>17</v>
      </c>
      <c r="B50" s="1381" t="s">
        <v>34</v>
      </c>
      <c r="C50" s="941" t="s">
        <v>193</v>
      </c>
      <c r="D50" s="1339">
        <f t="shared" si="1"/>
        <v>349760</v>
      </c>
      <c r="E50" s="1339">
        <f t="shared" si="5"/>
        <v>160000</v>
      </c>
      <c r="F50" s="979">
        <f>'Chi tiết'!H465</f>
        <v>160000</v>
      </c>
      <c r="G50" s="979">
        <f>'Chi tiết'!I465</f>
        <v>0</v>
      </c>
      <c r="H50" s="979">
        <f>'Chi tiết'!J465</f>
        <v>0</v>
      </c>
      <c r="I50" s="979">
        <f>'Chi tiết'!K465</f>
        <v>0</v>
      </c>
      <c r="J50" s="979">
        <f>'Chi tiết'!L465</f>
        <v>0</v>
      </c>
      <c r="K50" s="979">
        <f>'Chi tiết'!M465</f>
        <v>189760</v>
      </c>
      <c r="L50" s="979">
        <f>'Chi tiết'!N465</f>
        <v>17180</v>
      </c>
      <c r="M50" s="979">
        <f>'Chi tiết'!O465</f>
        <v>17000</v>
      </c>
      <c r="N50" s="979">
        <f>'Chi tiết'!P465</f>
        <v>10394</v>
      </c>
      <c r="O50" s="979">
        <f>'Chi tiết'!Q465</f>
        <v>38400</v>
      </c>
      <c r="P50" s="979">
        <f>'Chi tiết'!R465</f>
        <v>15001</v>
      </c>
      <c r="Q50" s="979">
        <f>'Chi tiết'!S465</f>
        <v>14840</v>
      </c>
      <c r="R50" s="979">
        <f>'Chi tiết'!T465</f>
        <v>28960</v>
      </c>
      <c r="S50" s="979">
        <f>'Chi tiết'!U465</f>
        <v>11680</v>
      </c>
      <c r="T50" s="979">
        <f>'Chi tiết'!V465</f>
        <v>8115</v>
      </c>
      <c r="U50" s="979">
        <f>'Chi tiết'!W465</f>
        <v>12990</v>
      </c>
      <c r="V50" s="979">
        <f>'Chi tiết'!X465</f>
        <v>9260</v>
      </c>
      <c r="W50" s="979">
        <f>'Chi tiết'!Y465</f>
        <v>5940</v>
      </c>
    </row>
    <row r="51" spans="1:23">
      <c r="A51" s="1376">
        <v>18</v>
      </c>
      <c r="B51" s="1381" t="s">
        <v>34</v>
      </c>
      <c r="C51" s="858" t="s">
        <v>33</v>
      </c>
      <c r="D51" s="1339">
        <f t="shared" si="1"/>
        <v>750692</v>
      </c>
      <c r="E51" s="1339">
        <f t="shared" si="5"/>
        <v>250000</v>
      </c>
      <c r="F51" s="979">
        <f>'Chi tiết'!H476</f>
        <v>250000</v>
      </c>
      <c r="G51" s="979">
        <f>'Chi tiết'!I476</f>
        <v>0</v>
      </c>
      <c r="H51" s="979">
        <f>'Chi tiết'!J476</f>
        <v>0</v>
      </c>
      <c r="I51" s="979">
        <f>'Chi tiết'!K476</f>
        <v>0</v>
      </c>
      <c r="J51" s="979">
        <f>'Chi tiết'!L476</f>
        <v>0</v>
      </c>
      <c r="K51" s="979">
        <f>'Chi tiết'!M476</f>
        <v>500692</v>
      </c>
      <c r="L51" s="979">
        <f>'Chi tiết'!N476</f>
        <v>10800</v>
      </c>
      <c r="M51" s="979">
        <f>'Chi tiết'!O476</f>
        <v>47100</v>
      </c>
      <c r="N51" s="979">
        <f>'Chi tiết'!P476</f>
        <v>42090</v>
      </c>
      <c r="O51" s="979">
        <f>'Chi tiết'!Q476</f>
        <v>77290</v>
      </c>
      <c r="P51" s="979">
        <f>'Chi tiết'!R476</f>
        <v>57156</v>
      </c>
      <c r="Q51" s="979">
        <f>'Chi tiết'!S476</f>
        <v>10920</v>
      </c>
      <c r="R51" s="979">
        <f>'Chi tiết'!T476</f>
        <v>37660</v>
      </c>
      <c r="S51" s="979">
        <f>'Chi tiết'!U476</f>
        <v>32040</v>
      </c>
      <c r="T51" s="979">
        <f>'Chi tiết'!V476</f>
        <v>47166</v>
      </c>
      <c r="U51" s="979">
        <f>'Chi tiết'!W476</f>
        <v>38170</v>
      </c>
      <c r="V51" s="979">
        <f>'Chi tiết'!X476</f>
        <v>73050</v>
      </c>
      <c r="W51" s="979">
        <f>'Chi tiết'!Y476</f>
        <v>27250</v>
      </c>
    </row>
    <row r="52" spans="1:23">
      <c r="A52" s="1376">
        <v>19</v>
      </c>
      <c r="B52" s="1381"/>
      <c r="C52" s="858" t="s">
        <v>241</v>
      </c>
      <c r="D52" s="1339">
        <f t="shared" si="1"/>
        <v>3958187</v>
      </c>
      <c r="E52" s="1339">
        <f t="shared" si="5"/>
        <v>2456525</v>
      </c>
      <c r="F52" s="979">
        <f>'Chi tiết'!H487</f>
        <v>1533125</v>
      </c>
      <c r="G52" s="979">
        <f>'Chi tiết'!I487</f>
        <v>278900</v>
      </c>
      <c r="H52" s="979">
        <f>'Chi tiết'!J487</f>
        <v>574500</v>
      </c>
      <c r="I52" s="979">
        <f>'Chi tiết'!K487</f>
        <v>70000</v>
      </c>
      <c r="J52" s="979">
        <f>'Chi tiết'!L487</f>
        <v>0</v>
      </c>
      <c r="K52" s="979">
        <f>'Chi tiết'!M487</f>
        <v>1501662</v>
      </c>
      <c r="L52" s="979">
        <f>'Chi tiết'!N487</f>
        <v>285970</v>
      </c>
      <c r="M52" s="979">
        <f>'Chi tiết'!O487</f>
        <v>50400</v>
      </c>
      <c r="N52" s="979">
        <f>'Chi tiết'!P487</f>
        <v>105040</v>
      </c>
      <c r="O52" s="979">
        <f>'Chi tiết'!Q487</f>
        <v>23900</v>
      </c>
      <c r="P52" s="979">
        <f>'Chi tiết'!R487</f>
        <v>126974</v>
      </c>
      <c r="Q52" s="979">
        <f>'Chi tiết'!S487</f>
        <v>136148</v>
      </c>
      <c r="R52" s="979">
        <f>'Chi tiết'!T487</f>
        <v>72867</v>
      </c>
      <c r="S52" s="979">
        <f>'Chi tiết'!U487</f>
        <v>264998</v>
      </c>
      <c r="T52" s="979">
        <f>'Chi tiết'!V487</f>
        <v>165880</v>
      </c>
      <c r="U52" s="979">
        <f>'Chi tiết'!W487</f>
        <v>53755</v>
      </c>
      <c r="V52" s="979">
        <f>'Chi tiết'!X487</f>
        <v>65030</v>
      </c>
      <c r="W52" s="979">
        <f>'Chi tiết'!Y487</f>
        <v>150700</v>
      </c>
    </row>
    <row r="53" spans="1:23" ht="24">
      <c r="A53" s="1376" t="s">
        <v>268</v>
      </c>
      <c r="B53" s="1381" t="s">
        <v>34</v>
      </c>
      <c r="C53" s="858" t="s">
        <v>262</v>
      </c>
      <c r="D53" s="1339">
        <f t="shared" si="1"/>
        <v>2499352</v>
      </c>
      <c r="E53" s="1339">
        <f t="shared" si="5"/>
        <v>1533125</v>
      </c>
      <c r="F53" s="979">
        <f>'Chi tiết'!H488</f>
        <v>1533125</v>
      </c>
      <c r="G53" s="979">
        <f>'Chi tiết'!I488</f>
        <v>0</v>
      </c>
      <c r="H53" s="979">
        <f>'Chi tiết'!J488</f>
        <v>0</v>
      </c>
      <c r="I53" s="979">
        <f>'Chi tiết'!K488</f>
        <v>0</v>
      </c>
      <c r="J53" s="979">
        <f>'Chi tiết'!L488</f>
        <v>0</v>
      </c>
      <c r="K53" s="979">
        <f>'Chi tiết'!M488</f>
        <v>966227</v>
      </c>
      <c r="L53" s="979">
        <f>'Chi tiết'!N488</f>
        <v>102090</v>
      </c>
      <c r="M53" s="979">
        <f>'Chi tiết'!O488</f>
        <v>8000</v>
      </c>
      <c r="N53" s="979">
        <f>'Chi tiết'!P488</f>
        <v>93040</v>
      </c>
      <c r="O53" s="979">
        <f>'Chi tiết'!Q488</f>
        <v>12900</v>
      </c>
      <c r="P53" s="979">
        <f>'Chi tiết'!R488</f>
        <v>74894</v>
      </c>
      <c r="Q53" s="979">
        <f>'Chi tiết'!S488</f>
        <v>116948</v>
      </c>
      <c r="R53" s="979">
        <f>'Chi tiết'!T488</f>
        <v>28352</v>
      </c>
      <c r="S53" s="979">
        <f>'Chi tiết'!U488</f>
        <v>239278</v>
      </c>
      <c r="T53" s="979">
        <f>'Chi tiết'!V488</f>
        <v>123360</v>
      </c>
      <c r="U53" s="979">
        <f>'Chi tiết'!W488</f>
        <v>43755</v>
      </c>
      <c r="V53" s="979">
        <f>'Chi tiết'!X488</f>
        <v>33110</v>
      </c>
      <c r="W53" s="979">
        <f>'Chi tiết'!Y488</f>
        <v>90500</v>
      </c>
    </row>
    <row r="54" spans="1:23" ht="24">
      <c r="A54" s="1376" t="s">
        <v>269</v>
      </c>
      <c r="B54" s="1381" t="s">
        <v>1</v>
      </c>
      <c r="C54" s="858" t="s">
        <v>263</v>
      </c>
      <c r="D54" s="1339">
        <f t="shared" si="1"/>
        <v>628435</v>
      </c>
      <c r="E54" s="1339">
        <f t="shared" si="5"/>
        <v>278900</v>
      </c>
      <c r="F54" s="979">
        <f>'Chi tiết'!H504</f>
        <v>0</v>
      </c>
      <c r="G54" s="979">
        <f>'Chi tiết'!I504</f>
        <v>278900</v>
      </c>
      <c r="H54" s="979">
        <f>'Chi tiết'!J504</f>
        <v>0</v>
      </c>
      <c r="I54" s="979">
        <f>'Chi tiết'!K504</f>
        <v>0</v>
      </c>
      <c r="J54" s="979">
        <f>'Chi tiết'!L504</f>
        <v>0</v>
      </c>
      <c r="K54" s="979">
        <f>'Chi tiết'!M504</f>
        <v>349535</v>
      </c>
      <c r="L54" s="979">
        <f>'Chi tiết'!N504</f>
        <v>148500</v>
      </c>
      <c r="M54" s="979">
        <f>'Chi tiết'!O504</f>
        <v>34000</v>
      </c>
      <c r="N54" s="979">
        <f>'Chi tiết'!P504</f>
        <v>2000</v>
      </c>
      <c r="O54" s="979">
        <f>'Chi tiết'!Q504</f>
        <v>0</v>
      </c>
      <c r="P54" s="979">
        <f>'Chi tiết'!R504</f>
        <v>5880</v>
      </c>
      <c r="Q54" s="979">
        <f>'Chi tiết'!S504</f>
        <v>10000</v>
      </c>
      <c r="R54" s="979">
        <f>'Chi tiết'!T504</f>
        <v>32715</v>
      </c>
      <c r="S54" s="979">
        <f>'Chi tiết'!U504</f>
        <v>15520</v>
      </c>
      <c r="T54" s="979">
        <f>'Chi tiết'!V504</f>
        <v>31720</v>
      </c>
      <c r="U54" s="979">
        <f>'Chi tiết'!W504</f>
        <v>0</v>
      </c>
      <c r="V54" s="979">
        <f>'Chi tiết'!X504</f>
        <v>19200</v>
      </c>
      <c r="W54" s="979">
        <f>'Chi tiết'!Y504</f>
        <v>50000</v>
      </c>
    </row>
    <row r="55" spans="1:23" ht="24">
      <c r="A55" s="1376" t="s">
        <v>270</v>
      </c>
      <c r="B55" s="1381" t="s">
        <v>2</v>
      </c>
      <c r="C55" s="858" t="s">
        <v>264</v>
      </c>
      <c r="D55" s="1339">
        <f t="shared" si="1"/>
        <v>760400</v>
      </c>
      <c r="E55" s="1339">
        <f t="shared" si="5"/>
        <v>574500</v>
      </c>
      <c r="F55" s="979">
        <f>'Chi tiết'!H506</f>
        <v>0</v>
      </c>
      <c r="G55" s="979">
        <f>'Chi tiết'!I506</f>
        <v>0</v>
      </c>
      <c r="H55" s="979">
        <f>'Chi tiết'!J506</f>
        <v>574500</v>
      </c>
      <c r="I55" s="979">
        <f>'Chi tiết'!K506</f>
        <v>0</v>
      </c>
      <c r="J55" s="979">
        <f>'Chi tiết'!L506</f>
        <v>0</v>
      </c>
      <c r="K55" s="979">
        <f>'Chi tiết'!M506</f>
        <v>185900</v>
      </c>
      <c r="L55" s="979">
        <f>'Chi tiết'!N506</f>
        <v>35380</v>
      </c>
      <c r="M55" s="979">
        <f>'Chi tiết'!O506</f>
        <v>8400</v>
      </c>
      <c r="N55" s="979">
        <f>'Chi tiết'!P506</f>
        <v>10000</v>
      </c>
      <c r="O55" s="979">
        <f>'Chi tiết'!Q506</f>
        <v>11000</v>
      </c>
      <c r="P55" s="979">
        <f>'Chi tiết'!R506</f>
        <v>46200</v>
      </c>
      <c r="Q55" s="979">
        <f>'Chi tiết'!S506</f>
        <v>9200</v>
      </c>
      <c r="R55" s="979">
        <f>'Chi tiết'!T506</f>
        <v>11800</v>
      </c>
      <c r="S55" s="979">
        <f>'Chi tiết'!U506</f>
        <v>10200</v>
      </c>
      <c r="T55" s="979">
        <f>'Chi tiết'!V506</f>
        <v>10800</v>
      </c>
      <c r="U55" s="979">
        <f>'Chi tiết'!W506</f>
        <v>10000</v>
      </c>
      <c r="V55" s="979">
        <f>'Chi tiết'!X506</f>
        <v>12720</v>
      </c>
      <c r="W55" s="979">
        <f>'Chi tiết'!Y506</f>
        <v>10200</v>
      </c>
    </row>
    <row r="56" spans="1:23" ht="60">
      <c r="A56" s="1388" t="s">
        <v>271</v>
      </c>
      <c r="B56" s="1389" t="s">
        <v>582</v>
      </c>
      <c r="C56" s="1390" t="s">
        <v>280</v>
      </c>
      <c r="D56" s="1339">
        <f t="shared" si="1"/>
        <v>70000</v>
      </c>
      <c r="E56" s="1339">
        <f t="shared" si="5"/>
        <v>70000</v>
      </c>
      <c r="F56" s="983">
        <f>'Chi tiết'!H510</f>
        <v>0</v>
      </c>
      <c r="G56" s="983">
        <f>'Chi tiết'!I510</f>
        <v>0</v>
      </c>
      <c r="H56" s="983">
        <f>'Chi tiết'!J510</f>
        <v>0</v>
      </c>
      <c r="I56" s="983">
        <f>'Chi tiết'!K510</f>
        <v>70000</v>
      </c>
      <c r="J56" s="983">
        <f>'Chi tiết'!L510</f>
        <v>0</v>
      </c>
      <c r="K56" s="983">
        <f>'Chi tiết'!M510</f>
        <v>0</v>
      </c>
      <c r="L56" s="983">
        <f>'Chi tiết'!N510</f>
        <v>0</v>
      </c>
      <c r="M56" s="983">
        <f>'Chi tiết'!O510</f>
        <v>0</v>
      </c>
      <c r="N56" s="983">
        <f>'Chi tiết'!P510</f>
        <v>0</v>
      </c>
      <c r="O56" s="983">
        <f>'Chi tiết'!Q510</f>
        <v>0</v>
      </c>
      <c r="P56" s="983">
        <f>'Chi tiết'!R510</f>
        <v>0</v>
      </c>
      <c r="Q56" s="983">
        <f>'Chi tiết'!S510</f>
        <v>0</v>
      </c>
      <c r="R56" s="983">
        <f>'Chi tiết'!T510</f>
        <v>0</v>
      </c>
      <c r="S56" s="983">
        <f>'Chi tiết'!U510</f>
        <v>0</v>
      </c>
      <c r="T56" s="983">
        <f>'Chi tiết'!V510</f>
        <v>0</v>
      </c>
      <c r="U56" s="983">
        <f>'Chi tiết'!W510</f>
        <v>0</v>
      </c>
      <c r="V56" s="983">
        <f>'Chi tiết'!X510</f>
        <v>0</v>
      </c>
      <c r="W56" s="983">
        <f>'Chi tiết'!Y510</f>
        <v>0</v>
      </c>
    </row>
    <row r="57" spans="1:23" ht="24">
      <c r="A57" s="1375">
        <v>20</v>
      </c>
      <c r="B57" s="1389"/>
      <c r="C57" s="1374" t="s">
        <v>242</v>
      </c>
      <c r="D57" s="1339">
        <f t="shared" si="1"/>
        <v>2245467</v>
      </c>
      <c r="E57" s="1339">
        <f t="shared" si="5"/>
        <v>1511260</v>
      </c>
      <c r="F57" s="979">
        <f>'Chi tiết'!H513</f>
        <v>50000</v>
      </c>
      <c r="G57" s="979">
        <f>'Chi tiết'!I513</f>
        <v>1028240</v>
      </c>
      <c r="H57" s="979">
        <f>'Chi tiết'!J513</f>
        <v>92540</v>
      </c>
      <c r="I57" s="979">
        <f>'Chi tiết'!K513</f>
        <v>163280</v>
      </c>
      <c r="J57" s="979">
        <f>'Chi tiết'!L513</f>
        <v>177200</v>
      </c>
      <c r="K57" s="979">
        <f>'Chi tiết'!M513</f>
        <v>734207</v>
      </c>
      <c r="L57" s="979">
        <f>'Chi tiết'!N513</f>
        <v>190173</v>
      </c>
      <c r="M57" s="979">
        <f>'Chi tiết'!O513</f>
        <v>96440</v>
      </c>
      <c r="N57" s="979">
        <f>'Chi tiết'!P513</f>
        <v>8476</v>
      </c>
      <c r="O57" s="979">
        <f>'Chi tiết'!Q513</f>
        <v>62350</v>
      </c>
      <c r="P57" s="979">
        <f>'Chi tiết'!R513</f>
        <v>74690</v>
      </c>
      <c r="Q57" s="979">
        <f>'Chi tiết'!S513</f>
        <v>36560</v>
      </c>
      <c r="R57" s="979">
        <f>'Chi tiết'!T513</f>
        <v>23750</v>
      </c>
      <c r="S57" s="979">
        <f>'Chi tiết'!U513</f>
        <v>61710</v>
      </c>
      <c r="T57" s="979">
        <f>'Chi tiết'!V513</f>
        <v>31728</v>
      </c>
      <c r="U57" s="979">
        <f>'Chi tiết'!W513</f>
        <v>18250</v>
      </c>
      <c r="V57" s="979">
        <f>'Chi tiết'!X513</f>
        <v>34600</v>
      </c>
      <c r="W57" s="979">
        <f>'Chi tiết'!Y513</f>
        <v>95480</v>
      </c>
    </row>
    <row r="58" spans="1:23" ht="36">
      <c r="A58" s="1375" t="s">
        <v>281</v>
      </c>
      <c r="B58" s="1386" t="s">
        <v>34</v>
      </c>
      <c r="C58" s="858" t="s">
        <v>265</v>
      </c>
      <c r="D58" s="1339">
        <f t="shared" si="1"/>
        <v>91158</v>
      </c>
      <c r="E58" s="1339">
        <f t="shared" si="5"/>
        <v>50000</v>
      </c>
      <c r="F58" s="979">
        <f>'Chi tiết'!H514</f>
        <v>50000</v>
      </c>
      <c r="G58" s="979">
        <f>'Chi tiết'!I514</f>
        <v>0</v>
      </c>
      <c r="H58" s="979">
        <f>'Chi tiết'!J514</f>
        <v>0</v>
      </c>
      <c r="I58" s="979">
        <f>'Chi tiết'!K514</f>
        <v>0</v>
      </c>
      <c r="J58" s="979">
        <f>'Chi tiết'!L514</f>
        <v>0</v>
      </c>
      <c r="K58" s="979">
        <f>'Chi tiết'!M514</f>
        <v>41158</v>
      </c>
      <c r="L58" s="979">
        <f>'Chi tiết'!N514</f>
        <v>3840</v>
      </c>
      <c r="M58" s="979">
        <f>'Chi tiết'!O514</f>
        <v>0</v>
      </c>
      <c r="N58" s="979">
        <f>'Chi tiết'!P514</f>
        <v>1600</v>
      </c>
      <c r="O58" s="979">
        <f>'Chi tiết'!Q514</f>
        <v>2400</v>
      </c>
      <c r="P58" s="979">
        <f>'Chi tiết'!R514</f>
        <v>6736</v>
      </c>
      <c r="Q58" s="979">
        <f>'Chi tiết'!S514</f>
        <v>1280</v>
      </c>
      <c r="R58" s="979">
        <f>'Chi tiết'!T514</f>
        <v>1520</v>
      </c>
      <c r="S58" s="979">
        <f>'Chi tiết'!U514</f>
        <v>0</v>
      </c>
      <c r="T58" s="979">
        <f>'Chi tiết'!V514</f>
        <v>10392</v>
      </c>
      <c r="U58" s="979">
        <f>'Chi tiết'!W514</f>
        <v>8000</v>
      </c>
      <c r="V58" s="979">
        <f>'Chi tiết'!X514</f>
        <v>0</v>
      </c>
      <c r="W58" s="979">
        <f>'Chi tiết'!Y514</f>
        <v>5390</v>
      </c>
    </row>
    <row r="59" spans="1:23" ht="36">
      <c r="A59" s="1377" t="s">
        <v>282</v>
      </c>
      <c r="B59" s="1380" t="s">
        <v>1</v>
      </c>
      <c r="C59" s="858" t="s">
        <v>266</v>
      </c>
      <c r="D59" s="1339">
        <f t="shared" si="1"/>
        <v>1538731</v>
      </c>
      <c r="E59" s="1339">
        <f t="shared" si="5"/>
        <v>1028240</v>
      </c>
      <c r="F59" s="979">
        <f>'Chi tiết'!H516</f>
        <v>0</v>
      </c>
      <c r="G59" s="979">
        <f>'Chi tiết'!I516</f>
        <v>1028240</v>
      </c>
      <c r="H59" s="979">
        <f>'Chi tiết'!J516</f>
        <v>0</v>
      </c>
      <c r="I59" s="979">
        <f>'Chi tiết'!K516</f>
        <v>0</v>
      </c>
      <c r="J59" s="979">
        <f>'Chi tiết'!L516</f>
        <v>0</v>
      </c>
      <c r="K59" s="979">
        <f>'Chi tiết'!M516</f>
        <v>510491</v>
      </c>
      <c r="L59" s="979">
        <f>'Chi tiết'!N516</f>
        <v>173853</v>
      </c>
      <c r="M59" s="979">
        <f>'Chi tiết'!O516</f>
        <v>92000</v>
      </c>
      <c r="N59" s="979">
        <f>'Chi tiết'!P516</f>
        <v>0</v>
      </c>
      <c r="O59" s="979">
        <f>'Chi tiết'!Q516</f>
        <v>22320</v>
      </c>
      <c r="P59" s="979">
        <f>'Chi tiết'!R516</f>
        <v>49358</v>
      </c>
      <c r="Q59" s="979">
        <f>'Chi tiết'!S516</f>
        <v>20000</v>
      </c>
      <c r="R59" s="979">
        <f>'Chi tiết'!T516</f>
        <v>3040</v>
      </c>
      <c r="S59" s="979">
        <f>'Chi tiết'!U516</f>
        <v>47400</v>
      </c>
      <c r="T59" s="979">
        <f>'Chi tiết'!V516</f>
        <v>0</v>
      </c>
      <c r="U59" s="979">
        <f>'Chi tiết'!W516</f>
        <v>0</v>
      </c>
      <c r="V59" s="979">
        <f>'Chi tiết'!X516</f>
        <v>27520</v>
      </c>
      <c r="W59" s="979">
        <f>'Chi tiết'!Y516</f>
        <v>75000</v>
      </c>
    </row>
    <row r="60" spans="1:23" ht="36">
      <c r="A60" s="1391" t="s">
        <v>283</v>
      </c>
      <c r="B60" s="1392" t="s">
        <v>2</v>
      </c>
      <c r="C60" s="1390" t="s">
        <v>267</v>
      </c>
      <c r="D60" s="1339">
        <f t="shared" si="1"/>
        <v>452298</v>
      </c>
      <c r="E60" s="1339">
        <f t="shared" si="5"/>
        <v>269740</v>
      </c>
      <c r="F60" s="983">
        <f>'Chi tiết'!H522</f>
        <v>0</v>
      </c>
      <c r="G60" s="983">
        <f>'Chi tiết'!I522</f>
        <v>0</v>
      </c>
      <c r="H60" s="983">
        <f>'Chi tiết'!J522</f>
        <v>92540</v>
      </c>
      <c r="I60" s="983">
        <f>'Chi tiết'!K522</f>
        <v>0</v>
      </c>
      <c r="J60" s="983">
        <f>'Chi tiết'!L522</f>
        <v>177200</v>
      </c>
      <c r="K60" s="983">
        <f>'Chi tiết'!M522</f>
        <v>182558</v>
      </c>
      <c r="L60" s="983">
        <f>'Chi tiết'!N522</f>
        <v>12480</v>
      </c>
      <c r="M60" s="983">
        <f>'Chi tiết'!O522</f>
        <v>4440</v>
      </c>
      <c r="N60" s="983">
        <f>'Chi tiết'!P522</f>
        <v>6876</v>
      </c>
      <c r="O60" s="983">
        <f>'Chi tiết'!Q522</f>
        <v>37630</v>
      </c>
      <c r="P60" s="983">
        <f>'Chi tiết'!R522</f>
        <v>18596</v>
      </c>
      <c r="Q60" s="983">
        <f>'Chi tiết'!S522</f>
        <v>15280</v>
      </c>
      <c r="R60" s="983">
        <f>'Chi tiết'!T522</f>
        <v>19190</v>
      </c>
      <c r="S60" s="983">
        <f>'Chi tiết'!U522</f>
        <v>14310</v>
      </c>
      <c r="T60" s="983">
        <f>'Chi tiết'!V522</f>
        <v>21336</v>
      </c>
      <c r="U60" s="983">
        <f>'Chi tiết'!W522</f>
        <v>10250</v>
      </c>
      <c r="V60" s="983">
        <f>'Chi tiết'!X522</f>
        <v>7080</v>
      </c>
      <c r="W60" s="983">
        <f>'Chi tiết'!Y522</f>
        <v>15090</v>
      </c>
    </row>
    <row r="61" spans="1:23" ht="60">
      <c r="A61" s="1391" t="s">
        <v>284</v>
      </c>
      <c r="B61" s="1392" t="s">
        <v>582</v>
      </c>
      <c r="C61" s="1390" t="s">
        <v>279</v>
      </c>
      <c r="D61" s="1339">
        <f t="shared" si="1"/>
        <v>163280</v>
      </c>
      <c r="E61" s="1339">
        <f t="shared" si="5"/>
        <v>163280</v>
      </c>
      <c r="F61" s="983">
        <f>'Chi tiết'!H525</f>
        <v>0</v>
      </c>
      <c r="G61" s="983">
        <f>'Chi tiết'!I525</f>
        <v>0</v>
      </c>
      <c r="H61" s="983">
        <f>'Chi tiết'!J525</f>
        <v>0</v>
      </c>
      <c r="I61" s="983">
        <f>'Chi tiết'!K525</f>
        <v>163280</v>
      </c>
      <c r="J61" s="983">
        <f>'Chi tiết'!L525</f>
        <v>0</v>
      </c>
      <c r="K61" s="983">
        <f>'Chi tiết'!M525</f>
        <v>0</v>
      </c>
      <c r="L61" s="983">
        <f>'Chi tiết'!N525</f>
        <v>0</v>
      </c>
      <c r="M61" s="983">
        <f>'Chi tiết'!O525</f>
        <v>0</v>
      </c>
      <c r="N61" s="983">
        <f>'Chi tiết'!P525</f>
        <v>0</v>
      </c>
      <c r="O61" s="983">
        <f>'Chi tiết'!Q525</f>
        <v>0</v>
      </c>
      <c r="P61" s="983">
        <f>'Chi tiết'!R525</f>
        <v>0</v>
      </c>
      <c r="Q61" s="983">
        <f>'Chi tiết'!S525</f>
        <v>0</v>
      </c>
      <c r="R61" s="983">
        <f>'Chi tiết'!T525</f>
        <v>0</v>
      </c>
      <c r="S61" s="983">
        <f>'Chi tiết'!U525</f>
        <v>0</v>
      </c>
      <c r="T61" s="983">
        <f>'Chi tiết'!V525</f>
        <v>0</v>
      </c>
      <c r="U61" s="983">
        <f>'Chi tiết'!W525</f>
        <v>0</v>
      </c>
      <c r="V61" s="983">
        <f>'Chi tiết'!X525</f>
        <v>0</v>
      </c>
      <c r="W61" s="983">
        <f>'Chi tiết'!Y525</f>
        <v>0</v>
      </c>
    </row>
    <row r="62" spans="1:23" s="1424" customFormat="1" ht="39" hidden="1" customHeight="1">
      <c r="A62" s="1425" t="s">
        <v>816</v>
      </c>
      <c r="B62" s="1906" t="s">
        <v>848</v>
      </c>
      <c r="C62" s="1906"/>
      <c r="D62" s="1428">
        <f t="shared" si="1"/>
        <v>464363</v>
      </c>
      <c r="E62" s="1428">
        <f t="shared" si="5"/>
        <v>464363</v>
      </c>
      <c r="F62" s="1429">
        <v>464363</v>
      </c>
      <c r="G62" s="1425"/>
      <c r="H62" s="1425"/>
      <c r="I62" s="1425"/>
      <c r="J62" s="1425"/>
      <c r="K62" s="1425"/>
      <c r="L62" s="1425"/>
      <c r="M62" s="1425"/>
      <c r="N62" s="1425"/>
      <c r="O62" s="1425"/>
      <c r="P62" s="1425"/>
      <c r="Q62" s="1425"/>
      <c r="R62" s="1425"/>
      <c r="S62" s="1425"/>
      <c r="T62" s="1425"/>
      <c r="U62" s="1425"/>
      <c r="V62" s="1425"/>
      <c r="W62" s="1425"/>
    </row>
  </sheetData>
  <autoFilter ref="A16:W62">
    <filterColumn colId="0">
      <filters>
        <filter val="1"/>
        <filter val="10"/>
        <filter val="10a1"/>
        <filter val="10a2"/>
        <filter val="10b"/>
        <filter val="11"/>
        <filter val="12"/>
        <filter val="13"/>
        <filter val="14"/>
        <filter val="15"/>
        <filter val="16"/>
        <filter val="17"/>
        <filter val="18"/>
        <filter val="19"/>
        <filter val="19a"/>
        <filter val="19b"/>
        <filter val="19c"/>
        <filter val="19d"/>
        <filter val="1a"/>
        <filter val="1b"/>
        <filter val="1c"/>
        <filter val="1d"/>
        <filter val="2"/>
        <filter val="20"/>
        <filter val="20a"/>
        <filter val="20b"/>
        <filter val="20c"/>
        <filter val="20d"/>
        <filter val="2a"/>
        <filter val="2b"/>
        <filter val="2c"/>
        <filter val="2d"/>
        <filter val="3"/>
        <filter val="3a"/>
        <filter val="3b"/>
        <filter val="3c"/>
        <filter val="3d"/>
        <filter val="4"/>
        <filter val="5"/>
        <filter val="6"/>
        <filter val="7"/>
        <filter val="8"/>
        <filter val="9"/>
        <filter val="9a"/>
        <filter val="9b"/>
      </filters>
    </filterColumn>
  </autoFilter>
  <mergeCells count="8">
    <mergeCell ref="B62:C62"/>
    <mergeCell ref="A1:W2"/>
    <mergeCell ref="A4:A7"/>
    <mergeCell ref="B4:B7"/>
    <mergeCell ref="C4:C7"/>
    <mergeCell ref="D4:D7"/>
    <mergeCell ref="E4:J5"/>
    <mergeCell ref="K4:W5"/>
  </mergeCells>
  <pageMargins left="0.70866141732283472" right="0.70866141732283472" top="0.74803149606299213" bottom="0.74803149606299213" header="0.31496062992125984" footer="0.31496062992125984"/>
  <pageSetup paperSize="9" scale="5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zoomScale="110" zoomScaleNormal="110" workbookViewId="0">
      <pane xSplit="5" ySplit="6" topLeftCell="F7" activePane="bottomRight" state="frozen"/>
      <selection pane="topRight" activeCell="F1" sqref="F1"/>
      <selection pane="bottomLeft" activeCell="A7" sqref="A7"/>
      <selection pane="bottomRight" activeCell="F47" sqref="F47"/>
    </sheetView>
  </sheetViews>
  <sheetFormatPr defaultRowHeight="12.75"/>
  <cols>
    <col min="1" max="1" width="3.28515625" style="1480" customWidth="1"/>
    <col min="2" max="2" width="4.85546875" style="1479" customWidth="1"/>
    <col min="3" max="3" width="16.7109375" style="1479" customWidth="1"/>
    <col min="4" max="4" width="9.42578125" style="1479" customWidth="1"/>
    <col min="5" max="5" width="11.28515625" style="1479" customWidth="1"/>
    <col min="6" max="6" width="11.5703125" style="1479" customWidth="1"/>
    <col min="7" max="7" width="8.28515625" style="1479" customWidth="1"/>
    <col min="8" max="8" width="8.42578125" style="1479" customWidth="1"/>
    <col min="9" max="9" width="8.5703125" style="1479" customWidth="1"/>
    <col min="10" max="10" width="7.42578125" style="1479" customWidth="1"/>
    <col min="11" max="11" width="8.7109375" style="1479" customWidth="1"/>
    <col min="12" max="12" width="9" style="1479" customWidth="1"/>
    <col min="13" max="13" width="9.140625" style="1479" customWidth="1"/>
    <col min="14" max="14" width="10.42578125" style="1479" customWidth="1"/>
    <col min="15" max="15" width="10.5703125" style="1479" customWidth="1"/>
    <col min="16" max="16" width="7.7109375" style="1479" customWidth="1"/>
    <col min="17" max="17" width="9.42578125" style="1479" customWidth="1"/>
    <col min="18" max="18" width="8.42578125" style="1479" customWidth="1"/>
    <col min="19" max="19" width="8.7109375" style="1479" customWidth="1"/>
    <col min="20" max="20" width="10" style="1479" customWidth="1"/>
    <col min="21" max="21" width="9.5703125" style="1479" customWidth="1"/>
    <col min="22" max="22" width="8.42578125" style="1479" customWidth="1"/>
    <col min="23" max="23" width="9.140625" style="1479" customWidth="1"/>
    <col min="24" max="24" width="8.42578125" style="1479" customWidth="1"/>
    <col min="25" max="25" width="9.5703125" style="1479" customWidth="1"/>
    <col min="26" max="26" width="8.85546875" style="1479" customWidth="1"/>
    <col min="27" max="16384" width="9.140625" style="1479"/>
  </cols>
  <sheetData>
    <row r="1" spans="1:26">
      <c r="A1" s="1924" t="s">
        <v>840</v>
      </c>
      <c r="B1" s="1924"/>
      <c r="C1" s="1924"/>
      <c r="D1" s="1924"/>
      <c r="E1" s="1924"/>
      <c r="F1" s="1924"/>
      <c r="G1" s="1924"/>
      <c r="H1" s="1924"/>
      <c r="I1" s="1924"/>
      <c r="J1" s="1924"/>
      <c r="K1" s="1924"/>
      <c r="L1" s="1924"/>
      <c r="M1" s="1924"/>
      <c r="N1" s="1924"/>
      <c r="O1" s="1924"/>
      <c r="P1" s="1924"/>
      <c r="Q1" s="1924"/>
      <c r="R1" s="1924"/>
      <c r="S1" s="1924"/>
      <c r="T1" s="1924"/>
      <c r="U1" s="1924"/>
      <c r="V1" s="1924"/>
      <c r="W1" s="1924"/>
      <c r="X1" s="1924"/>
      <c r="Y1" s="1924"/>
      <c r="Z1" s="1924"/>
    </row>
    <row r="2" spans="1:26">
      <c r="A2" s="1924"/>
      <c r="B2" s="1924"/>
      <c r="C2" s="1924"/>
      <c r="D2" s="1924"/>
      <c r="E2" s="1924"/>
      <c r="F2" s="1924"/>
      <c r="G2" s="1924"/>
      <c r="H2" s="1924"/>
      <c r="I2" s="1924"/>
      <c r="J2" s="1924"/>
      <c r="K2" s="1924"/>
      <c r="L2" s="1924"/>
      <c r="M2" s="1924"/>
      <c r="N2" s="1924"/>
      <c r="O2" s="1924"/>
      <c r="P2" s="1924"/>
      <c r="Q2" s="1924"/>
      <c r="R2" s="1924"/>
      <c r="S2" s="1924"/>
      <c r="T2" s="1924"/>
      <c r="U2" s="1924"/>
      <c r="V2" s="1924"/>
      <c r="W2" s="1924"/>
      <c r="X2" s="1924"/>
      <c r="Y2" s="1924"/>
      <c r="Z2" s="1924"/>
    </row>
    <row r="3" spans="1:26">
      <c r="A3" s="1638"/>
      <c r="B3" s="1639"/>
      <c r="C3" s="1639"/>
      <c r="D3" s="1639"/>
      <c r="E3" s="1640"/>
      <c r="F3" s="1640"/>
      <c r="G3" s="1925"/>
      <c r="H3" s="1925"/>
      <c r="I3" s="1639"/>
      <c r="J3" s="1641"/>
      <c r="K3" s="1642"/>
      <c r="L3" s="1642"/>
      <c r="M3" s="1642"/>
      <c r="N3" s="1639"/>
      <c r="O3" s="1639"/>
      <c r="P3" s="1639"/>
      <c r="Q3" s="1639"/>
      <c r="R3" s="1639"/>
      <c r="S3" s="1639"/>
      <c r="T3" s="1639"/>
      <c r="U3" s="1639"/>
      <c r="V3" s="1639"/>
      <c r="W3" s="1639"/>
      <c r="X3" s="1639"/>
      <c r="Y3" s="1925" t="s">
        <v>1028</v>
      </c>
      <c r="Z3" s="1925"/>
    </row>
    <row r="4" spans="1:26">
      <c r="A4" s="1926" t="s">
        <v>309</v>
      </c>
      <c r="B4" s="1926" t="s">
        <v>626</v>
      </c>
      <c r="C4" s="1926" t="s">
        <v>751</v>
      </c>
      <c r="D4" s="1929" t="s">
        <v>829</v>
      </c>
      <c r="E4" s="1932" t="s">
        <v>754</v>
      </c>
      <c r="F4" s="1933"/>
      <c r="G4" s="1933"/>
      <c r="H4" s="1933"/>
      <c r="I4" s="1933"/>
      <c r="J4" s="1933"/>
      <c r="K4" s="1643"/>
      <c r="L4" s="1643"/>
      <c r="M4" s="1643"/>
      <c r="N4" s="1932" t="s">
        <v>826</v>
      </c>
      <c r="O4" s="1933"/>
      <c r="P4" s="1933"/>
      <c r="Q4" s="1933"/>
      <c r="R4" s="1933"/>
      <c r="S4" s="1933"/>
      <c r="T4" s="1933"/>
      <c r="U4" s="1933"/>
      <c r="V4" s="1933"/>
      <c r="W4" s="1933"/>
      <c r="X4" s="1933"/>
      <c r="Y4" s="1933"/>
      <c r="Z4" s="1936"/>
    </row>
    <row r="5" spans="1:26">
      <c r="A5" s="1927"/>
      <c r="B5" s="1927"/>
      <c r="C5" s="1927"/>
      <c r="D5" s="1930"/>
      <c r="E5" s="1934"/>
      <c r="F5" s="1935"/>
      <c r="G5" s="1935"/>
      <c r="H5" s="1935"/>
      <c r="I5" s="1935"/>
      <c r="J5" s="1935"/>
      <c r="K5" s="1644"/>
      <c r="L5" s="1644"/>
      <c r="M5" s="1644"/>
      <c r="N5" s="1934"/>
      <c r="O5" s="1935"/>
      <c r="P5" s="1935"/>
      <c r="Q5" s="1935"/>
      <c r="R5" s="1935"/>
      <c r="S5" s="1935"/>
      <c r="T5" s="1935"/>
      <c r="U5" s="1935"/>
      <c r="V5" s="1935"/>
      <c r="W5" s="1935"/>
      <c r="X5" s="1935"/>
      <c r="Y5" s="1935"/>
      <c r="Z5" s="1937"/>
    </row>
    <row r="6" spans="1:26" ht="63">
      <c r="A6" s="1927"/>
      <c r="B6" s="1927"/>
      <c r="C6" s="1927"/>
      <c r="D6" s="1930"/>
      <c r="E6" s="1645" t="s">
        <v>5</v>
      </c>
      <c r="F6" s="1645" t="s">
        <v>821</v>
      </c>
      <c r="G6" s="1645" t="s">
        <v>822</v>
      </c>
      <c r="H6" s="1645" t="s">
        <v>823</v>
      </c>
      <c r="I6" s="1646" t="s">
        <v>824</v>
      </c>
      <c r="J6" s="1647" t="s">
        <v>825</v>
      </c>
      <c r="K6" s="1647" t="s">
        <v>1019</v>
      </c>
      <c r="L6" s="1647" t="s">
        <v>1020</v>
      </c>
      <c r="M6" s="1647" t="s">
        <v>886</v>
      </c>
      <c r="N6" s="1648" t="s">
        <v>5</v>
      </c>
      <c r="O6" s="1649" t="s">
        <v>727</v>
      </c>
      <c r="P6" s="1650" t="s">
        <v>728</v>
      </c>
      <c r="Q6" s="1650" t="s">
        <v>729</v>
      </c>
      <c r="R6" s="1650" t="s">
        <v>730</v>
      </c>
      <c r="S6" s="1650" t="s">
        <v>731</v>
      </c>
      <c r="T6" s="1650" t="s">
        <v>732</v>
      </c>
      <c r="U6" s="1650" t="s">
        <v>733</v>
      </c>
      <c r="V6" s="1650" t="s">
        <v>734</v>
      </c>
      <c r="W6" s="1650" t="s">
        <v>735</v>
      </c>
      <c r="X6" s="1650" t="s">
        <v>736</v>
      </c>
      <c r="Y6" s="1650" t="s">
        <v>737</v>
      </c>
      <c r="Z6" s="1650" t="s">
        <v>738</v>
      </c>
    </row>
    <row r="7" spans="1:26">
      <c r="A7" s="1928"/>
      <c r="B7" s="1928"/>
      <c r="C7" s="1928"/>
      <c r="D7" s="1931"/>
      <c r="E7" s="1651"/>
      <c r="F7" s="1651">
        <v>1</v>
      </c>
      <c r="G7" s="1651">
        <v>2</v>
      </c>
      <c r="H7" s="1651">
        <v>3</v>
      </c>
      <c r="I7" s="1651">
        <v>4</v>
      </c>
      <c r="J7" s="1651">
        <v>5</v>
      </c>
      <c r="K7" s="1651">
        <v>6</v>
      </c>
      <c r="L7" s="1651">
        <v>7</v>
      </c>
      <c r="M7" s="1651">
        <v>8</v>
      </c>
      <c r="N7" s="1652"/>
      <c r="O7" s="1653">
        <v>9</v>
      </c>
      <c r="P7" s="1654">
        <v>10</v>
      </c>
      <c r="Q7" s="1653">
        <v>11</v>
      </c>
      <c r="R7" s="1654">
        <v>12</v>
      </c>
      <c r="S7" s="1653">
        <v>13</v>
      </c>
      <c r="T7" s="1654">
        <v>14</v>
      </c>
      <c r="U7" s="1653">
        <v>15</v>
      </c>
      <c r="V7" s="1654">
        <v>16</v>
      </c>
      <c r="W7" s="1653">
        <v>17</v>
      </c>
      <c r="X7" s="1654">
        <v>18</v>
      </c>
      <c r="Y7" s="1653">
        <v>19</v>
      </c>
      <c r="Z7" s="1654">
        <v>20</v>
      </c>
    </row>
    <row r="8" spans="1:26" s="1482" customFormat="1" ht="21" hidden="1">
      <c r="A8" s="1655" t="s">
        <v>768</v>
      </c>
      <c r="B8" s="1656"/>
      <c r="C8" s="1657" t="s">
        <v>841</v>
      </c>
      <c r="D8" s="1658">
        <f>D9</f>
        <v>71196300</v>
      </c>
      <c r="E8" s="1659"/>
      <c r="F8" s="1659"/>
      <c r="G8" s="1659"/>
      <c r="H8" s="1659"/>
      <c r="I8" s="1659"/>
      <c r="J8" s="1659"/>
      <c r="K8" s="1659"/>
      <c r="L8" s="1659"/>
      <c r="M8" s="1659"/>
      <c r="N8" s="1660"/>
      <c r="O8" s="1661"/>
      <c r="P8" s="1661"/>
      <c r="Q8" s="1661"/>
      <c r="R8" s="1661"/>
      <c r="S8" s="1661"/>
      <c r="T8" s="1661"/>
      <c r="U8" s="1661"/>
      <c r="V8" s="1661"/>
      <c r="W8" s="1661"/>
      <c r="X8" s="1661"/>
      <c r="Y8" s="1661"/>
      <c r="Z8" s="1661"/>
    </row>
    <row r="9" spans="1:26" s="1482" customFormat="1" ht="63" hidden="1">
      <c r="A9" s="1655"/>
      <c r="B9" s="1655"/>
      <c r="C9" s="1662" t="s">
        <v>837</v>
      </c>
      <c r="D9" s="1663">
        <f>D10+D11</f>
        <v>71196300</v>
      </c>
      <c r="E9" s="1663">
        <f t="shared" ref="E9:Z9" si="0">E10+E11</f>
        <v>21461300</v>
      </c>
      <c r="F9" s="1663">
        <f t="shared" si="0"/>
        <v>0</v>
      </c>
      <c r="G9" s="1663">
        <f t="shared" si="0"/>
        <v>0</v>
      </c>
      <c r="H9" s="1663">
        <f t="shared" si="0"/>
        <v>0</v>
      </c>
      <c r="I9" s="1663">
        <f t="shared" si="0"/>
        <v>0</v>
      </c>
      <c r="J9" s="1663">
        <f t="shared" si="0"/>
        <v>0</v>
      </c>
      <c r="K9" s="1663"/>
      <c r="L9" s="1663"/>
      <c r="M9" s="1663"/>
      <c r="N9" s="1663">
        <f t="shared" si="0"/>
        <v>22735000</v>
      </c>
      <c r="O9" s="1663">
        <f t="shared" si="0"/>
        <v>3150800</v>
      </c>
      <c r="P9" s="1663">
        <f t="shared" si="0"/>
        <v>517400</v>
      </c>
      <c r="Q9" s="1663">
        <f t="shared" si="0"/>
        <v>2658400</v>
      </c>
      <c r="R9" s="1663">
        <f t="shared" si="0"/>
        <v>2392200</v>
      </c>
      <c r="S9" s="1663">
        <f t="shared" si="0"/>
        <v>2629800</v>
      </c>
      <c r="T9" s="1663">
        <f t="shared" si="0"/>
        <v>1142100</v>
      </c>
      <c r="U9" s="1663">
        <f t="shared" si="0"/>
        <v>2300300</v>
      </c>
      <c r="V9" s="1663">
        <f t="shared" si="0"/>
        <v>2262600</v>
      </c>
      <c r="W9" s="1663">
        <f t="shared" si="0"/>
        <v>2696300</v>
      </c>
      <c r="X9" s="1663">
        <f t="shared" si="0"/>
        <v>1082600</v>
      </c>
      <c r="Y9" s="1663">
        <f t="shared" si="0"/>
        <v>1100600</v>
      </c>
      <c r="Z9" s="1663">
        <f t="shared" si="0"/>
        <v>801900</v>
      </c>
    </row>
    <row r="10" spans="1:26" s="1483" customFormat="1" ht="56.25" hidden="1">
      <c r="A10" s="1664"/>
      <c r="B10" s="1665"/>
      <c r="C10" s="1666" t="s">
        <v>839</v>
      </c>
      <c r="D10" s="1667">
        <v>27000000</v>
      </c>
      <c r="E10" s="1668"/>
      <c r="F10" s="1668"/>
      <c r="G10" s="1668"/>
      <c r="H10" s="1668"/>
      <c r="I10" s="1668"/>
      <c r="J10" s="1668"/>
      <c r="K10" s="1668"/>
      <c r="L10" s="1668"/>
      <c r="M10" s="1668"/>
      <c r="N10" s="1667">
        <v>0</v>
      </c>
      <c r="O10" s="1669"/>
      <c r="P10" s="1669"/>
      <c r="Q10" s="1669"/>
      <c r="R10" s="1669"/>
      <c r="S10" s="1669"/>
      <c r="T10" s="1669"/>
      <c r="U10" s="1669"/>
      <c r="V10" s="1669"/>
      <c r="W10" s="1669"/>
      <c r="X10" s="1669"/>
      <c r="Y10" s="1669"/>
      <c r="Z10" s="1669"/>
    </row>
    <row r="11" spans="1:26" s="1483" customFormat="1" ht="56.25" hidden="1">
      <c r="A11" s="1670"/>
      <c r="B11" s="1670"/>
      <c r="C11" s="1666" t="s">
        <v>838</v>
      </c>
      <c r="D11" s="1671">
        <f>E11+N11</f>
        <v>44196300</v>
      </c>
      <c r="E11" s="1668">
        <v>21461300</v>
      </c>
      <c r="F11" s="1672"/>
      <c r="G11" s="1672"/>
      <c r="H11" s="1672"/>
      <c r="I11" s="1672"/>
      <c r="J11" s="1672"/>
      <c r="K11" s="1672"/>
      <c r="L11" s="1672"/>
      <c r="M11" s="1672"/>
      <c r="N11" s="1667">
        <f>SUM(O11:Z11)</f>
        <v>22735000</v>
      </c>
      <c r="O11" s="1669">
        <v>3150800</v>
      </c>
      <c r="P11" s="1669">
        <v>517400</v>
      </c>
      <c r="Q11" s="1669">
        <v>2658400</v>
      </c>
      <c r="R11" s="1669">
        <v>2392200</v>
      </c>
      <c r="S11" s="1669">
        <v>2629800</v>
      </c>
      <c r="T11" s="1669">
        <v>1142100</v>
      </c>
      <c r="U11" s="1669">
        <v>2300300</v>
      </c>
      <c r="V11" s="1669">
        <v>2262600</v>
      </c>
      <c r="W11" s="1669">
        <v>2696300</v>
      </c>
      <c r="X11" s="1669">
        <v>1082600</v>
      </c>
      <c r="Y11" s="1669">
        <v>1100600</v>
      </c>
      <c r="Z11" s="1669">
        <v>801900</v>
      </c>
    </row>
    <row r="12" spans="1:26" s="1483" customFormat="1" ht="31.5" hidden="1">
      <c r="A12" s="1673" t="s">
        <v>804</v>
      </c>
      <c r="B12" s="1674"/>
      <c r="C12" s="1675" t="s">
        <v>845</v>
      </c>
      <c r="D12" s="1658">
        <f>D13+D14+D15</f>
        <v>48702000</v>
      </c>
      <c r="E12" s="1658">
        <f t="shared" ref="E12:Z12" si="1">E13+E14+E15</f>
        <v>21504000</v>
      </c>
      <c r="F12" s="1658">
        <f t="shared" si="1"/>
        <v>12106000</v>
      </c>
      <c r="G12" s="1658">
        <f t="shared" si="1"/>
        <v>2687000</v>
      </c>
      <c r="H12" s="1658">
        <f t="shared" si="1"/>
        <v>6592000</v>
      </c>
      <c r="I12" s="1658">
        <f t="shared" si="1"/>
        <v>119000</v>
      </c>
      <c r="J12" s="1658">
        <f t="shared" si="1"/>
        <v>0</v>
      </c>
      <c r="K12" s="1658"/>
      <c r="L12" s="1658"/>
      <c r="M12" s="1658"/>
      <c r="N12" s="1658">
        <f t="shared" si="1"/>
        <v>27198000</v>
      </c>
      <c r="O12" s="1658">
        <f t="shared" si="1"/>
        <v>3682000</v>
      </c>
      <c r="P12" s="1658">
        <f t="shared" si="1"/>
        <v>738000</v>
      </c>
      <c r="Q12" s="1658">
        <f t="shared" si="1"/>
        <v>2972000</v>
      </c>
      <c r="R12" s="1658">
        <f t="shared" si="1"/>
        <v>3036000</v>
      </c>
      <c r="S12" s="1658">
        <f t="shared" si="1"/>
        <v>3183000</v>
      </c>
      <c r="T12" s="1658">
        <f t="shared" si="1"/>
        <v>1253000</v>
      </c>
      <c r="U12" s="1658">
        <f t="shared" si="1"/>
        <v>3046000</v>
      </c>
      <c r="V12" s="1658">
        <f t="shared" si="1"/>
        <v>2807000</v>
      </c>
      <c r="W12" s="1658">
        <f t="shared" si="1"/>
        <v>3067000</v>
      </c>
      <c r="X12" s="1658">
        <f t="shared" si="1"/>
        <v>925000</v>
      </c>
      <c r="Y12" s="1658">
        <f t="shared" si="1"/>
        <v>1057000</v>
      </c>
      <c r="Z12" s="1658">
        <f t="shared" si="1"/>
        <v>1432000</v>
      </c>
    </row>
    <row r="13" spans="1:26" s="1483" customFormat="1" ht="33.75" hidden="1">
      <c r="A13" s="1670"/>
      <c r="B13" s="1670">
        <v>1</v>
      </c>
      <c r="C13" s="1676" t="s">
        <v>844</v>
      </c>
      <c r="D13" s="1671">
        <f>E13+N13</f>
        <v>33813000</v>
      </c>
      <c r="E13" s="1668">
        <f>SUM(F13:J13)</f>
        <v>15229000</v>
      </c>
      <c r="F13" s="1668">
        <v>9812000</v>
      </c>
      <c r="G13" s="1668">
        <v>1352000</v>
      </c>
      <c r="H13" s="1668">
        <v>3966000</v>
      </c>
      <c r="I13" s="1668">
        <v>99000</v>
      </c>
      <c r="J13" s="1668"/>
      <c r="K13" s="1668"/>
      <c r="L13" s="1668"/>
      <c r="M13" s="1668"/>
      <c r="N13" s="1667">
        <f>SUM(O13:Z13)</f>
        <v>18584000</v>
      </c>
      <c r="O13" s="1669">
        <v>2790000</v>
      </c>
      <c r="P13" s="1669">
        <v>376000</v>
      </c>
      <c r="Q13" s="1669">
        <v>2326000</v>
      </c>
      <c r="R13" s="1669">
        <v>2096000</v>
      </c>
      <c r="S13" s="1669">
        <v>2432000</v>
      </c>
      <c r="T13" s="1669">
        <v>410000</v>
      </c>
      <c r="U13" s="1669">
        <v>1972000</v>
      </c>
      <c r="V13" s="1669">
        <v>2102000</v>
      </c>
      <c r="W13" s="1669">
        <v>1989000</v>
      </c>
      <c r="X13" s="1669">
        <v>407000</v>
      </c>
      <c r="Y13" s="1669">
        <v>738000</v>
      </c>
      <c r="Z13" s="1669">
        <v>946000</v>
      </c>
    </row>
    <row r="14" spans="1:26" s="1483" customFormat="1" hidden="1">
      <c r="A14" s="1670"/>
      <c r="B14" s="1670">
        <v>2</v>
      </c>
      <c r="C14" s="1676" t="s">
        <v>843</v>
      </c>
      <c r="D14" s="1671">
        <f>E14+N14</f>
        <v>8614000</v>
      </c>
      <c r="E14" s="1668">
        <f>SUM(F14:J14)</f>
        <v>0</v>
      </c>
      <c r="F14" s="1672"/>
      <c r="G14" s="1672"/>
      <c r="H14" s="1672"/>
      <c r="I14" s="1672"/>
      <c r="J14" s="1672"/>
      <c r="K14" s="1672"/>
      <c r="L14" s="1672"/>
      <c r="M14" s="1672"/>
      <c r="N14" s="1667">
        <f>SUM(O14:Z14)</f>
        <v>8614000</v>
      </c>
      <c r="O14" s="1669">
        <v>892000</v>
      </c>
      <c r="P14" s="1669">
        <v>362000</v>
      </c>
      <c r="Q14" s="1669">
        <v>646000</v>
      </c>
      <c r="R14" s="1669">
        <v>940000</v>
      </c>
      <c r="S14" s="1669">
        <v>751000</v>
      </c>
      <c r="T14" s="1669">
        <v>843000</v>
      </c>
      <c r="U14" s="1669">
        <v>1074000</v>
      </c>
      <c r="V14" s="1669">
        <v>705000</v>
      </c>
      <c r="W14" s="1669">
        <v>1078000</v>
      </c>
      <c r="X14" s="1669">
        <v>518000</v>
      </c>
      <c r="Y14" s="1669">
        <v>319000</v>
      </c>
      <c r="Z14" s="1669">
        <v>486000</v>
      </c>
    </row>
    <row r="15" spans="1:26" s="1483" customFormat="1" ht="22.5" hidden="1">
      <c r="A15" s="1673"/>
      <c r="B15" s="1677">
        <v>3</v>
      </c>
      <c r="C15" s="1676" t="s">
        <v>846</v>
      </c>
      <c r="D15" s="1671">
        <f>E15+N15</f>
        <v>6275000</v>
      </c>
      <c r="E15" s="1668">
        <f>SUM(F15:J15)</f>
        <v>6275000</v>
      </c>
      <c r="F15" s="1668">
        <v>2294000</v>
      </c>
      <c r="G15" s="1668">
        <v>1335000</v>
      </c>
      <c r="H15" s="1668">
        <v>2626000</v>
      </c>
      <c r="I15" s="1668">
        <v>20000</v>
      </c>
      <c r="J15" s="1668"/>
      <c r="K15" s="1668"/>
      <c r="L15" s="1668"/>
      <c r="M15" s="1668"/>
      <c r="N15" s="1667"/>
      <c r="O15" s="1669"/>
      <c r="P15" s="1669"/>
      <c r="Q15" s="1669"/>
      <c r="R15" s="1669"/>
      <c r="S15" s="1669"/>
      <c r="T15" s="1669"/>
      <c r="U15" s="1669"/>
      <c r="V15" s="1669"/>
      <c r="W15" s="1669"/>
      <c r="X15" s="1669"/>
      <c r="Y15" s="1669"/>
      <c r="Z15" s="1669"/>
    </row>
    <row r="16" spans="1:26" ht="36.75" customHeight="1">
      <c r="A16" s="1921" t="s">
        <v>1029</v>
      </c>
      <c r="B16" s="1922"/>
      <c r="C16" s="1923"/>
      <c r="D16" s="1663">
        <f>D17+D22+D27+D33+D34+D35+D39+D40+D41+D44+D48+D49+D50+D51+D52+D53+D54+D55+D56+D61</f>
        <v>67120034.349999994</v>
      </c>
      <c r="E16" s="1663">
        <f t="shared" ref="E16:Y16" si="2">E17+E22+E27+E33+E34+E35+E39+E40+E41+E44+E48+E49+E50+E51+E52+E53+E54+E55+E56+E61</f>
        <v>23996377</v>
      </c>
      <c r="F16" s="1663">
        <f t="shared" si="2"/>
        <v>10776820</v>
      </c>
      <c r="G16" s="1663">
        <f t="shared" si="2"/>
        <v>2665000</v>
      </c>
      <c r="H16" s="1663">
        <f t="shared" si="2"/>
        <v>6895702</v>
      </c>
      <c r="I16" s="1663">
        <f t="shared" si="2"/>
        <v>1084640</v>
      </c>
      <c r="J16" s="1663">
        <f t="shared" si="2"/>
        <v>374099</v>
      </c>
      <c r="K16" s="1663">
        <f t="shared" si="2"/>
        <v>0</v>
      </c>
      <c r="L16" s="1663">
        <f t="shared" si="2"/>
        <v>0</v>
      </c>
      <c r="M16" s="1663">
        <f t="shared" si="2"/>
        <v>0</v>
      </c>
      <c r="N16" s="1663">
        <f t="shared" si="2"/>
        <v>43123657.350000001</v>
      </c>
      <c r="O16" s="1663">
        <f t="shared" si="2"/>
        <v>4935254.5999999996</v>
      </c>
      <c r="P16" s="1663">
        <f t="shared" si="2"/>
        <v>2651368.6039999998</v>
      </c>
      <c r="Q16" s="1663">
        <f t="shared" si="2"/>
        <v>3264119.3</v>
      </c>
      <c r="R16" s="1663">
        <f t="shared" si="2"/>
        <v>5113573.5</v>
      </c>
      <c r="S16" s="1663">
        <f t="shared" si="2"/>
        <v>4301011</v>
      </c>
      <c r="T16" s="1663">
        <f t="shared" si="2"/>
        <v>2907285.2</v>
      </c>
      <c r="U16" s="1663">
        <f t="shared" si="2"/>
        <v>4703585.8459999999</v>
      </c>
      <c r="V16" s="1663">
        <f t="shared" si="2"/>
        <v>3301997.8</v>
      </c>
      <c r="W16" s="1663">
        <f t="shared" si="2"/>
        <v>3218727.5</v>
      </c>
      <c r="X16" s="1663">
        <f t="shared" si="2"/>
        <v>2908957</v>
      </c>
      <c r="Y16" s="1663">
        <f t="shared" si="2"/>
        <v>2994269</v>
      </c>
      <c r="Z16" s="1663">
        <f>Z17+Z22+Z27+Z33+Z34+Z35+Z39+Z40+Z41+Z44+Z48+Z49+Z50+Z51+Z52+Z53+Z54+Z55+Z56+Z61</f>
        <v>2823508</v>
      </c>
    </row>
    <row r="17" spans="1:26" ht="56.25">
      <c r="A17" s="1679">
        <v>1</v>
      </c>
      <c r="B17" s="1679" t="s">
        <v>34</v>
      </c>
      <c r="C17" s="1679" t="s">
        <v>243</v>
      </c>
      <c r="D17" s="1680">
        <f>E17+N17</f>
        <v>16291669.6</v>
      </c>
      <c r="E17" s="1680">
        <f>SUM(E18+E19+E20+E21)</f>
        <v>3611271</v>
      </c>
      <c r="F17" s="1680">
        <f t="shared" ref="F17:Z17" si="3">SUM(F18+F19+F20+F21)</f>
        <v>764715</v>
      </c>
      <c r="G17" s="1680">
        <f t="shared" si="3"/>
        <v>0</v>
      </c>
      <c r="H17" s="1680">
        <f t="shared" si="3"/>
        <v>0</v>
      </c>
      <c r="I17" s="1680">
        <f>SUM(I18+I19+I20+I21)</f>
        <v>646440</v>
      </c>
      <c r="J17" s="1680">
        <f t="shared" si="3"/>
        <v>0</v>
      </c>
      <c r="K17" s="1680"/>
      <c r="L17" s="1680"/>
      <c r="M17" s="1680"/>
      <c r="N17" s="1663">
        <f>SUM(O17:Z17)</f>
        <v>12680398.6</v>
      </c>
      <c r="O17" s="1680">
        <f t="shared" si="3"/>
        <v>798181.6</v>
      </c>
      <c r="P17" s="1680">
        <f t="shared" si="3"/>
        <v>986895.4</v>
      </c>
      <c r="Q17" s="1680">
        <f t="shared" si="3"/>
        <v>1064091.3</v>
      </c>
      <c r="R17" s="1680">
        <f t="shared" si="3"/>
        <v>1657839.5</v>
      </c>
      <c r="S17" s="1680">
        <f t="shared" si="3"/>
        <v>896116</v>
      </c>
      <c r="T17" s="1680">
        <f t="shared" si="3"/>
        <v>839671</v>
      </c>
      <c r="U17" s="1680">
        <f t="shared" si="3"/>
        <v>1437921.5</v>
      </c>
      <c r="V17" s="1680">
        <f t="shared" si="3"/>
        <v>742223.8</v>
      </c>
      <c r="W17" s="1680">
        <f t="shared" si="3"/>
        <v>999210.5</v>
      </c>
      <c r="X17" s="1680">
        <f t="shared" si="3"/>
        <v>1171760</v>
      </c>
      <c r="Y17" s="1680">
        <f t="shared" si="3"/>
        <v>1150741</v>
      </c>
      <c r="Z17" s="1680">
        <f t="shared" si="3"/>
        <v>935747</v>
      </c>
    </row>
    <row r="18" spans="1:26" s="1483" customFormat="1" ht="33.75">
      <c r="A18" s="1681" t="s">
        <v>578</v>
      </c>
      <c r="B18" s="1681" t="s">
        <v>34</v>
      </c>
      <c r="C18" s="1681" t="s">
        <v>827</v>
      </c>
      <c r="D18" s="1680">
        <f t="shared" ref="D18:D65" si="4">E18+N18</f>
        <v>1044980</v>
      </c>
      <c r="E18" s="1667">
        <f>'chi tiết (final)'!G10</f>
        <v>86000</v>
      </c>
      <c r="F18" s="1667">
        <f>'chi tiết (final)'!H10</f>
        <v>86000</v>
      </c>
      <c r="G18" s="1667">
        <f>'chi tiết (final)'!I10</f>
        <v>0</v>
      </c>
      <c r="H18" s="1667">
        <f>'chi tiết (final)'!J10</f>
        <v>0</v>
      </c>
      <c r="I18" s="1667">
        <f>'chi tiết (final)'!K10</f>
        <v>0</v>
      </c>
      <c r="J18" s="1667">
        <f>'chi tiết (final)'!L10</f>
        <v>0</v>
      </c>
      <c r="K18" s="1667"/>
      <c r="L18" s="1667"/>
      <c r="M18" s="1667"/>
      <c r="N18" s="1663">
        <f t="shared" ref="N18:N65" si="5">SUM(O18:Z18)</f>
        <v>958980</v>
      </c>
      <c r="O18" s="1667">
        <f>'chi tiết (final)'!N10</f>
        <v>66402</v>
      </c>
      <c r="P18" s="1667">
        <f>'chi tiết (final)'!O10</f>
        <v>38000</v>
      </c>
      <c r="Q18" s="1667">
        <f>'chi tiết (final)'!P10</f>
        <v>37250</v>
      </c>
      <c r="R18" s="1667">
        <f>'chi tiết (final)'!Q10</f>
        <v>291080</v>
      </c>
      <c r="S18" s="1667">
        <f>'chi tiết (final)'!R10</f>
        <v>52500</v>
      </c>
      <c r="T18" s="1667">
        <f>'chi tiết (final)'!S10</f>
        <v>49700</v>
      </c>
      <c r="U18" s="1667">
        <f>'chi tiết (final)'!T10</f>
        <v>126580</v>
      </c>
      <c r="V18" s="1667">
        <f>'chi tiết (final)'!U10</f>
        <v>50308</v>
      </c>
      <c r="W18" s="1667">
        <f>'chi tiết (final)'!V10</f>
        <v>40800</v>
      </c>
      <c r="X18" s="1667">
        <f>'chi tiết (final)'!W10</f>
        <v>45960</v>
      </c>
      <c r="Y18" s="1667">
        <f>'chi tiết (final)'!X10</f>
        <v>49600</v>
      </c>
      <c r="Z18" s="1667">
        <f>'chi tiết (final)'!Y10</f>
        <v>110800</v>
      </c>
    </row>
    <row r="19" spans="1:26" s="1484" customFormat="1" ht="22.5">
      <c r="A19" s="1681" t="s">
        <v>579</v>
      </c>
      <c r="B19" s="1681" t="s">
        <v>34</v>
      </c>
      <c r="C19" s="1666" t="s">
        <v>861</v>
      </c>
      <c r="D19" s="1680">
        <f t="shared" si="4"/>
        <v>15088739.6</v>
      </c>
      <c r="E19" s="1682">
        <f>SUM(F19:M19)</f>
        <v>3486871</v>
      </c>
      <c r="F19" s="1682">
        <v>640315</v>
      </c>
      <c r="G19" s="1682">
        <v>0</v>
      </c>
      <c r="H19" s="1682">
        <v>0</v>
      </c>
      <c r="I19" s="1682">
        <v>646440</v>
      </c>
      <c r="J19" s="1682">
        <v>0</v>
      </c>
      <c r="K19" s="1682">
        <f>1466744*0.5</f>
        <v>733372</v>
      </c>
      <c r="L19" s="1682">
        <f t="shared" ref="L19:M19" si="6">1466744*0.5</f>
        <v>733372</v>
      </c>
      <c r="M19" s="1682">
        <f t="shared" si="6"/>
        <v>733372</v>
      </c>
      <c r="N19" s="1663">
        <f t="shared" si="5"/>
        <v>11601868.6</v>
      </c>
      <c r="O19" s="1682">
        <v>731779.6</v>
      </c>
      <c r="P19" s="1682">
        <v>829345.4</v>
      </c>
      <c r="Q19" s="1682">
        <v>1026841.3</v>
      </c>
      <c r="R19" s="1682">
        <v>1366759.5</v>
      </c>
      <c r="S19" s="1682">
        <v>843616</v>
      </c>
      <c r="T19" s="1682">
        <v>789971</v>
      </c>
      <c r="U19" s="1682">
        <v>1311341.5</v>
      </c>
      <c r="V19" s="1682">
        <v>691915.8</v>
      </c>
      <c r="W19" s="1682">
        <v>958410.5</v>
      </c>
      <c r="X19" s="1683">
        <v>1125800</v>
      </c>
      <c r="Y19" s="1682">
        <v>1101141</v>
      </c>
      <c r="Z19" s="1682">
        <v>824947</v>
      </c>
    </row>
    <row r="20" spans="1:26" s="1483" customFormat="1" ht="22.5">
      <c r="A20" s="1681" t="s">
        <v>580</v>
      </c>
      <c r="B20" s="1681" t="s">
        <v>34</v>
      </c>
      <c r="C20" s="1681" t="s">
        <v>862</v>
      </c>
      <c r="D20" s="1680">
        <f t="shared" si="4"/>
        <v>8400</v>
      </c>
      <c r="E20" s="1667">
        <f>'chi tiết (final)'!G20</f>
        <v>8400</v>
      </c>
      <c r="F20" s="1667">
        <f>'chi tiết (final)'!H20</f>
        <v>8400</v>
      </c>
      <c r="G20" s="1667">
        <f>'chi tiết (final)'!I20</f>
        <v>0</v>
      </c>
      <c r="H20" s="1667">
        <f>'chi tiết (final)'!J20</f>
        <v>0</v>
      </c>
      <c r="I20" s="1667">
        <f>'chi tiết (final)'!K20</f>
        <v>0</v>
      </c>
      <c r="J20" s="1684"/>
      <c r="K20" s="1684"/>
      <c r="L20" s="1684"/>
      <c r="M20" s="1684"/>
      <c r="N20" s="1663">
        <f t="shared" si="5"/>
        <v>0</v>
      </c>
      <c r="O20" s="1667">
        <f>'chi tiết (final)'!Q20</f>
        <v>0</v>
      </c>
      <c r="P20" s="1667">
        <f>'chi tiết (final)'!R20</f>
        <v>0</v>
      </c>
      <c r="Q20" s="1667">
        <f>'chi tiết (final)'!S20</f>
        <v>0</v>
      </c>
      <c r="R20" s="1667">
        <f>'chi tiết (final)'!T20</f>
        <v>0</v>
      </c>
      <c r="S20" s="1667">
        <f>'chi tiết (final)'!U20</f>
        <v>0</v>
      </c>
      <c r="T20" s="1667">
        <f>'chi tiết (final)'!V20</f>
        <v>0</v>
      </c>
      <c r="U20" s="1667">
        <f>'chi tiết (final)'!W20</f>
        <v>0</v>
      </c>
      <c r="V20" s="1667">
        <f>'chi tiết (final)'!X20</f>
        <v>0</v>
      </c>
      <c r="W20" s="1667">
        <f>'chi tiết (final)'!Y20</f>
        <v>0</v>
      </c>
      <c r="X20" s="1667">
        <f>'chi tiết (final)'!Z20</f>
        <v>0</v>
      </c>
      <c r="Y20" s="1667">
        <f>'chi tiết (final)'!AA20</f>
        <v>0</v>
      </c>
      <c r="Z20" s="1667">
        <f>'chi tiết (final)'!AB20</f>
        <v>0</v>
      </c>
    </row>
    <row r="21" spans="1:26" s="1483" customFormat="1" ht="45">
      <c r="A21" s="1681" t="s">
        <v>581</v>
      </c>
      <c r="B21" s="1681" t="s">
        <v>34</v>
      </c>
      <c r="C21" s="1681" t="s">
        <v>223</v>
      </c>
      <c r="D21" s="1680">
        <f t="shared" si="4"/>
        <v>149550</v>
      </c>
      <c r="E21" s="1667">
        <f>'chi tiết (final)'!G30</f>
        <v>30000</v>
      </c>
      <c r="F21" s="1667">
        <f>'chi tiết (final)'!H30</f>
        <v>30000</v>
      </c>
      <c r="G21" s="1667">
        <f>'chi tiết (final)'!I30</f>
        <v>0</v>
      </c>
      <c r="H21" s="1667">
        <f>'chi tiết (final)'!J30</f>
        <v>0</v>
      </c>
      <c r="I21" s="1667">
        <f>'chi tiết (final)'!K30</f>
        <v>0</v>
      </c>
      <c r="J21" s="1684"/>
      <c r="K21" s="1684"/>
      <c r="L21" s="1684"/>
      <c r="M21" s="1684"/>
      <c r="N21" s="1663">
        <f t="shared" si="5"/>
        <v>119550</v>
      </c>
      <c r="O21" s="1667">
        <f>'chi tiết (final)'!Q30</f>
        <v>0</v>
      </c>
      <c r="P21" s="1667">
        <f>'chi tiết (final)'!R30</f>
        <v>119550</v>
      </c>
      <c r="Q21" s="1667">
        <f>'chi tiết (final)'!S30</f>
        <v>0</v>
      </c>
      <c r="R21" s="1667">
        <f>'chi tiết (final)'!T30</f>
        <v>0</v>
      </c>
      <c r="S21" s="1667">
        <f>'chi tiết (final)'!U30</f>
        <v>0</v>
      </c>
      <c r="T21" s="1667">
        <f>'chi tiết (final)'!V30</f>
        <v>0</v>
      </c>
      <c r="U21" s="1667">
        <f>'chi tiết (final)'!W30</f>
        <v>0</v>
      </c>
      <c r="V21" s="1667">
        <f>'chi tiết (final)'!X30</f>
        <v>0</v>
      </c>
      <c r="W21" s="1667">
        <f>'chi tiết (final)'!Y30</f>
        <v>0</v>
      </c>
      <c r="X21" s="1667">
        <f>'chi tiết (final)'!Z30</f>
        <v>0</v>
      </c>
      <c r="Y21" s="1667">
        <f>'chi tiết (final)'!AA30</f>
        <v>0</v>
      </c>
      <c r="Z21" s="1667">
        <f>'chi tiết (final)'!AB30</f>
        <v>0</v>
      </c>
    </row>
    <row r="22" spans="1:26" ht="33.75">
      <c r="A22" s="1685">
        <v>2</v>
      </c>
      <c r="B22" s="1679" t="s">
        <v>34</v>
      </c>
      <c r="C22" s="1679" t="s">
        <v>234</v>
      </c>
      <c r="D22" s="1680">
        <f t="shared" si="4"/>
        <v>3879066.3459999999</v>
      </c>
      <c r="E22" s="1680">
        <f t="shared" ref="E22:Z22" si="7">E23+E24+E25+E26</f>
        <v>1297680</v>
      </c>
      <c r="F22" s="1680">
        <f t="shared" si="7"/>
        <v>1297680</v>
      </c>
      <c r="G22" s="1680">
        <f t="shared" si="7"/>
        <v>0</v>
      </c>
      <c r="H22" s="1680">
        <f t="shared" si="7"/>
        <v>0</v>
      </c>
      <c r="I22" s="1680">
        <f t="shared" si="7"/>
        <v>0</v>
      </c>
      <c r="J22" s="1680">
        <f t="shared" si="7"/>
        <v>0</v>
      </c>
      <c r="K22" s="1680"/>
      <c r="L22" s="1680"/>
      <c r="M22" s="1680"/>
      <c r="N22" s="1663">
        <f t="shared" si="5"/>
        <v>2581386.3459999999</v>
      </c>
      <c r="O22" s="1680">
        <f>O23+O24+O25+O26</f>
        <v>493343</v>
      </c>
      <c r="P22" s="1680">
        <f t="shared" si="7"/>
        <v>66340</v>
      </c>
      <c r="Q22" s="1680">
        <f t="shared" si="7"/>
        <v>71002</v>
      </c>
      <c r="R22" s="1680">
        <f t="shared" si="7"/>
        <v>242975</v>
      </c>
      <c r="S22" s="1680">
        <f t="shared" si="7"/>
        <v>407340</v>
      </c>
      <c r="T22" s="1680">
        <f t="shared" si="7"/>
        <v>62503</v>
      </c>
      <c r="U22" s="1680">
        <f t="shared" si="7"/>
        <v>446366.34600000002</v>
      </c>
      <c r="V22" s="1680">
        <f t="shared" si="7"/>
        <v>301702</v>
      </c>
      <c r="W22" s="1680">
        <f t="shared" si="7"/>
        <v>-77715</v>
      </c>
      <c r="X22" s="1680">
        <f t="shared" si="7"/>
        <v>180990</v>
      </c>
      <c r="Y22" s="1680">
        <f t="shared" si="7"/>
        <v>188730</v>
      </c>
      <c r="Z22" s="1680">
        <f t="shared" si="7"/>
        <v>197810</v>
      </c>
    </row>
    <row r="23" spans="1:26" s="1483" customFormat="1" ht="22.5">
      <c r="A23" s="1686" t="s">
        <v>251</v>
      </c>
      <c r="B23" s="1681" t="s">
        <v>34</v>
      </c>
      <c r="C23" s="1687" t="s">
        <v>18</v>
      </c>
      <c r="D23" s="1680">
        <f t="shared" si="4"/>
        <v>1223839.3459999999</v>
      </c>
      <c r="E23" s="1667">
        <f>'chi tiết (final)'!G34</f>
        <v>492700</v>
      </c>
      <c r="F23" s="1667">
        <f>'chi tiết (final)'!H34</f>
        <v>492700</v>
      </c>
      <c r="G23" s="1667">
        <f>'chi tiết (final)'!I34</f>
        <v>0</v>
      </c>
      <c r="H23" s="1667">
        <f>'chi tiết (final)'!J34</f>
        <v>0</v>
      </c>
      <c r="I23" s="1667">
        <f>'chi tiết (final)'!K34</f>
        <v>0</v>
      </c>
      <c r="J23" s="1667">
        <f>'chi tiết (final)'!L34</f>
        <v>0</v>
      </c>
      <c r="K23" s="1667"/>
      <c r="L23" s="1667"/>
      <c r="M23" s="1667"/>
      <c r="N23" s="1663">
        <f t="shared" si="5"/>
        <v>731139.34600000002</v>
      </c>
      <c r="O23" s="1667">
        <f>'chi tiết (final)'!N34</f>
        <v>449686</v>
      </c>
      <c r="P23" s="1667">
        <f>'chi tiết (final)'!O34</f>
        <v>15862</v>
      </c>
      <c r="Q23" s="1667">
        <f>'chi tiết (final)'!P34</f>
        <v>22965</v>
      </c>
      <c r="R23" s="1667">
        <f>'chi tiết (final)'!Q34</f>
        <v>6800</v>
      </c>
      <c r="S23" s="1667">
        <f>'chi tiết (final)'!R34</f>
        <v>152180</v>
      </c>
      <c r="T23" s="1667">
        <f>'chi tiết (final)'!S34</f>
        <v>1470</v>
      </c>
      <c r="U23" s="1667">
        <f>'chi tiết (final)'!T34</f>
        <v>11656.346</v>
      </c>
      <c r="V23" s="1667">
        <f>'chi tiết (final)'!U34</f>
        <v>3340</v>
      </c>
      <c r="W23" s="1667">
        <f>'chi tiết (final)'!V34</f>
        <v>22200</v>
      </c>
      <c r="X23" s="1667">
        <f>'chi tiết (final)'!W34</f>
        <v>15350</v>
      </c>
      <c r="Y23" s="1667">
        <f>'chi tiết (final)'!X34</f>
        <v>2400</v>
      </c>
      <c r="Z23" s="1688">
        <v>27230</v>
      </c>
    </row>
    <row r="24" spans="1:26" s="1483" customFormat="1" ht="22.5">
      <c r="A24" s="1689" t="s">
        <v>252</v>
      </c>
      <c r="B24" s="1681" t="s">
        <v>34</v>
      </c>
      <c r="C24" s="1687" t="s">
        <v>19</v>
      </c>
      <c r="D24" s="1680">
        <f t="shared" si="4"/>
        <v>325582</v>
      </c>
      <c r="E24" s="1667">
        <f>'chi tiết (final)'!G46</f>
        <v>235200</v>
      </c>
      <c r="F24" s="1667">
        <f>'chi tiết (final)'!H46</f>
        <v>235200</v>
      </c>
      <c r="G24" s="1667">
        <f>'chi tiết (final)'!I46</f>
        <v>0</v>
      </c>
      <c r="H24" s="1667">
        <f>'chi tiết (final)'!J46</f>
        <v>0</v>
      </c>
      <c r="I24" s="1667">
        <f>'chi tiết (final)'!K46</f>
        <v>0</v>
      </c>
      <c r="J24" s="1667">
        <f>'chi tiết (final)'!L46</f>
        <v>0</v>
      </c>
      <c r="K24" s="1667"/>
      <c r="L24" s="1667"/>
      <c r="M24" s="1667"/>
      <c r="N24" s="1663">
        <f t="shared" si="5"/>
        <v>90382</v>
      </c>
      <c r="O24" s="1667">
        <f>'chi tiết (final)'!N46</f>
        <v>17000</v>
      </c>
      <c r="P24" s="1667">
        <f>'chi tiết (final)'!O46</f>
        <v>2500</v>
      </c>
      <c r="Q24" s="1667">
        <f>'chi tiết (final)'!P46</f>
        <v>6220</v>
      </c>
      <c r="R24" s="1667">
        <f>'chi tiết (final)'!Q46</f>
        <v>23000</v>
      </c>
      <c r="S24" s="1667">
        <f>'chi tiết (final)'!R46</f>
        <v>4380</v>
      </c>
      <c r="T24" s="1667">
        <f>'chi tiết (final)'!S46</f>
        <v>1120</v>
      </c>
      <c r="U24" s="1667">
        <f>'chi tiết (final)'!T46</f>
        <v>8100</v>
      </c>
      <c r="V24" s="1667">
        <f>'chi tiết (final)'!U46</f>
        <v>7452</v>
      </c>
      <c r="W24" s="1667">
        <f>'chi tiết (final)'!V46</f>
        <v>12700</v>
      </c>
      <c r="X24" s="1667">
        <f>'chi tiết (final)'!W46</f>
        <v>3100</v>
      </c>
      <c r="Y24" s="1667">
        <f>'chi tiết (final)'!X46</f>
        <v>2160</v>
      </c>
      <c r="Z24" s="1667">
        <f>'chi tiết (final)'!Y46</f>
        <v>2650</v>
      </c>
    </row>
    <row r="25" spans="1:26" s="1483" customFormat="1" ht="22.5">
      <c r="A25" s="1686" t="s">
        <v>253</v>
      </c>
      <c r="B25" s="1681" t="s">
        <v>34</v>
      </c>
      <c r="C25" s="1687" t="s">
        <v>20</v>
      </c>
      <c r="D25" s="1680">
        <f t="shared" si="4"/>
        <v>338548</v>
      </c>
      <c r="E25" s="1667">
        <f>'chi tiết (final)'!G54</f>
        <v>109780</v>
      </c>
      <c r="F25" s="1667">
        <f>'chi tiết (final)'!H54</f>
        <v>109780</v>
      </c>
      <c r="G25" s="1667">
        <f>'chi tiết (final)'!I54</f>
        <v>0</v>
      </c>
      <c r="H25" s="1667">
        <f>'chi tiết (final)'!J54</f>
        <v>0</v>
      </c>
      <c r="I25" s="1667">
        <f>'chi tiết (final)'!K54</f>
        <v>0</v>
      </c>
      <c r="J25" s="1667">
        <f>'chi tiết (final)'!L54</f>
        <v>0</v>
      </c>
      <c r="K25" s="1667"/>
      <c r="L25" s="1667"/>
      <c r="M25" s="1667"/>
      <c r="N25" s="1663">
        <f t="shared" si="5"/>
        <v>228768</v>
      </c>
      <c r="O25" s="1667">
        <f>'chi tiết (final)'!N54</f>
        <v>16683</v>
      </c>
      <c r="P25" s="1667">
        <f>'chi tiết (final)'!O54</f>
        <v>15978</v>
      </c>
      <c r="Q25" s="1667">
        <f>'chi tiết (final)'!P54</f>
        <v>8259</v>
      </c>
      <c r="R25" s="1667">
        <f>'chi tiết (final)'!Q54</f>
        <v>21600</v>
      </c>
      <c r="S25" s="1667">
        <f>'chi tiết (final)'!R54</f>
        <v>14080</v>
      </c>
      <c r="T25" s="1667">
        <f>'chi tiết (final)'!S54</f>
        <v>12388</v>
      </c>
      <c r="U25" s="1667">
        <f>'chi tiết (final)'!T54</f>
        <v>19960</v>
      </c>
      <c r="V25" s="1667">
        <f>'chi tiết (final)'!U54</f>
        <v>33270</v>
      </c>
      <c r="W25" s="1667">
        <f>'chi tiết (final)'!V54</f>
        <v>37500</v>
      </c>
      <c r="X25" s="1667">
        <f>'chi tiết (final)'!W54</f>
        <v>5000</v>
      </c>
      <c r="Y25" s="1667">
        <f>'chi tiết (final)'!X54</f>
        <v>16800</v>
      </c>
      <c r="Z25" s="1667">
        <f>'chi tiết (final)'!Y54</f>
        <v>27250</v>
      </c>
    </row>
    <row r="26" spans="1:26" s="1483" customFormat="1" ht="22.5">
      <c r="A26" s="1686" t="s">
        <v>254</v>
      </c>
      <c r="B26" s="1681" t="s">
        <v>34</v>
      </c>
      <c r="C26" s="1687" t="s">
        <v>21</v>
      </c>
      <c r="D26" s="1680">
        <f t="shared" si="4"/>
        <v>1991097</v>
      </c>
      <c r="E26" s="1667">
        <f>'chi tiết (final)'!G65</f>
        <v>460000</v>
      </c>
      <c r="F26" s="1667">
        <f>'chi tiết (final)'!H65</f>
        <v>460000</v>
      </c>
      <c r="G26" s="1667">
        <f>'chi tiết (final)'!I65</f>
        <v>0</v>
      </c>
      <c r="H26" s="1667">
        <f>'chi tiết (final)'!J65</f>
        <v>0</v>
      </c>
      <c r="I26" s="1667">
        <f>'chi tiết (final)'!K65</f>
        <v>0</v>
      </c>
      <c r="J26" s="1667">
        <f>'chi tiết (final)'!L65</f>
        <v>0</v>
      </c>
      <c r="K26" s="1667"/>
      <c r="L26" s="1667"/>
      <c r="M26" s="1667"/>
      <c r="N26" s="1663">
        <f t="shared" si="5"/>
        <v>1531097</v>
      </c>
      <c r="O26" s="1667">
        <f>'chi tiết (final)'!N65</f>
        <v>9974</v>
      </c>
      <c r="P26" s="1667">
        <f>'chi tiết (final)'!O65</f>
        <v>32000</v>
      </c>
      <c r="Q26" s="1667">
        <f>'chi tiết (final)'!P65</f>
        <v>33558</v>
      </c>
      <c r="R26" s="1667">
        <f>'chi tiết (final)'!Q65</f>
        <v>191575</v>
      </c>
      <c r="S26" s="1667">
        <f>'chi tiết (final)'!R65</f>
        <v>236700</v>
      </c>
      <c r="T26" s="1667">
        <f>'chi tiết (final)'!S65</f>
        <v>47525</v>
      </c>
      <c r="U26" s="1667">
        <f>'chi tiết (final)'!T65</f>
        <v>406650</v>
      </c>
      <c r="V26" s="1667">
        <f>'chi tiết (final)'!U65</f>
        <v>257640</v>
      </c>
      <c r="W26" s="1688">
        <f>'chi tiết (final)'!V65-300000</f>
        <v>-150115</v>
      </c>
      <c r="X26" s="1667">
        <f>'chi tiết (final)'!W65</f>
        <v>157540</v>
      </c>
      <c r="Y26" s="1667">
        <f>'chi tiết (final)'!X65</f>
        <v>167370</v>
      </c>
      <c r="Z26" s="1667">
        <f>'chi tiết (final)'!Y65</f>
        <v>140680</v>
      </c>
    </row>
    <row r="27" spans="1:26" ht="45">
      <c r="A27" s="1690">
        <v>3</v>
      </c>
      <c r="B27" s="1679" t="s">
        <v>34</v>
      </c>
      <c r="C27" s="1679" t="s">
        <v>235</v>
      </c>
      <c r="D27" s="1680">
        <f t="shared" si="4"/>
        <v>2052662.2039999999</v>
      </c>
      <c r="E27" s="1680">
        <f t="shared" ref="E27:Z27" si="8">E28+E29+E30+E31+E32</f>
        <v>721080</v>
      </c>
      <c r="F27" s="1680">
        <f t="shared" si="8"/>
        <v>721080</v>
      </c>
      <c r="G27" s="1680">
        <f t="shared" si="8"/>
        <v>0</v>
      </c>
      <c r="H27" s="1680">
        <f t="shared" si="8"/>
        <v>0</v>
      </c>
      <c r="I27" s="1680">
        <f t="shared" si="8"/>
        <v>0</v>
      </c>
      <c r="J27" s="1680">
        <f t="shared" si="8"/>
        <v>0</v>
      </c>
      <c r="K27" s="1680"/>
      <c r="L27" s="1680"/>
      <c r="M27" s="1680"/>
      <c r="N27" s="1663">
        <f t="shared" si="5"/>
        <v>1331582.2039999999</v>
      </c>
      <c r="O27" s="1680">
        <f t="shared" si="8"/>
        <v>173466</v>
      </c>
      <c r="P27" s="1680">
        <f t="shared" si="8"/>
        <v>108594.204</v>
      </c>
      <c r="Q27" s="1680">
        <f t="shared" si="8"/>
        <v>109844</v>
      </c>
      <c r="R27" s="1680">
        <f t="shared" si="8"/>
        <v>129841</v>
      </c>
      <c r="S27" s="1680">
        <f t="shared" si="8"/>
        <v>95786</v>
      </c>
      <c r="T27" s="1680">
        <f t="shared" si="8"/>
        <v>65890</v>
      </c>
      <c r="U27" s="1680">
        <f t="shared" si="8"/>
        <v>103915</v>
      </c>
      <c r="V27" s="1680">
        <f t="shared" si="8"/>
        <v>197720</v>
      </c>
      <c r="W27" s="1680">
        <f t="shared" si="8"/>
        <v>178096</v>
      </c>
      <c r="X27" s="1680">
        <f t="shared" si="8"/>
        <v>46380</v>
      </c>
      <c r="Y27" s="1680">
        <f t="shared" si="8"/>
        <v>20580</v>
      </c>
      <c r="Z27" s="1680">
        <f t="shared" si="8"/>
        <v>101470</v>
      </c>
    </row>
    <row r="28" spans="1:26" s="1483" customFormat="1" ht="22.5">
      <c r="A28" s="1686" t="s">
        <v>245</v>
      </c>
      <c r="B28" s="1681" t="s">
        <v>34</v>
      </c>
      <c r="C28" s="1687" t="s">
        <v>23</v>
      </c>
      <c r="D28" s="1680">
        <f t="shared" si="4"/>
        <v>280620</v>
      </c>
      <c r="E28" s="1667">
        <f>'chi tiết (final)'!G86</f>
        <v>62800</v>
      </c>
      <c r="F28" s="1667">
        <f>'chi tiết (final)'!H86</f>
        <v>62800</v>
      </c>
      <c r="G28" s="1667">
        <f>'chi tiết (final)'!I86</f>
        <v>0</v>
      </c>
      <c r="H28" s="1667">
        <f>'chi tiết (final)'!J86</f>
        <v>0</v>
      </c>
      <c r="I28" s="1667">
        <f>'chi tiết (final)'!K86</f>
        <v>0</v>
      </c>
      <c r="J28" s="1667">
        <f>'chi tiết (final)'!L86</f>
        <v>0</v>
      </c>
      <c r="K28" s="1667"/>
      <c r="L28" s="1667"/>
      <c r="M28" s="1667"/>
      <c r="N28" s="1663">
        <f t="shared" si="5"/>
        <v>217820</v>
      </c>
      <c r="O28" s="1667">
        <f>'chi tiết (final)'!N86</f>
        <v>41700</v>
      </c>
      <c r="P28" s="1667">
        <f>'chi tiết (final)'!O86</f>
        <v>51100</v>
      </c>
      <c r="Q28" s="1667">
        <f>'chi tiết (final)'!P86</f>
        <v>36360</v>
      </c>
      <c r="R28" s="1667">
        <f>'chi tiết (final)'!Q86</f>
        <v>12600</v>
      </c>
      <c r="S28" s="1667">
        <f>'chi tiết (final)'!R86</f>
        <v>17500</v>
      </c>
      <c r="T28" s="1667">
        <f>'chi tiết (final)'!S86</f>
        <v>1700</v>
      </c>
      <c r="U28" s="1667">
        <f>'chi tiết (final)'!T86</f>
        <v>19560</v>
      </c>
      <c r="V28" s="1667">
        <f>'chi tiết (final)'!U86</f>
        <v>14880</v>
      </c>
      <c r="W28" s="1667">
        <f>'chi tiết (final)'!V86</f>
        <v>12760</v>
      </c>
      <c r="X28" s="1667">
        <f>'chi tiết (final)'!W86</f>
        <v>7500</v>
      </c>
      <c r="Y28" s="1667">
        <f>'chi tiết (final)'!X86</f>
        <v>2160</v>
      </c>
      <c r="Z28" s="1667">
        <f>'chi tiết (final)'!Y86</f>
        <v>0</v>
      </c>
    </row>
    <row r="29" spans="1:26" s="1483" customFormat="1" ht="22.5">
      <c r="A29" s="1686" t="s">
        <v>246</v>
      </c>
      <c r="B29" s="1681" t="s">
        <v>34</v>
      </c>
      <c r="C29" s="1687" t="s">
        <v>304</v>
      </c>
      <c r="D29" s="1680">
        <f t="shared" si="4"/>
        <v>378040</v>
      </c>
      <c r="E29" s="1667">
        <f>'chi tiết (final)'!G93</f>
        <v>181000</v>
      </c>
      <c r="F29" s="1667">
        <f>'chi tiết (final)'!H93</f>
        <v>181000</v>
      </c>
      <c r="G29" s="1667">
        <f>'chi tiết (final)'!I93</f>
        <v>0</v>
      </c>
      <c r="H29" s="1667">
        <f>'chi tiết (final)'!J93</f>
        <v>0</v>
      </c>
      <c r="I29" s="1667">
        <f>'chi tiết (final)'!K93</f>
        <v>0</v>
      </c>
      <c r="J29" s="1667">
        <f>'chi tiết (final)'!L93</f>
        <v>0</v>
      </c>
      <c r="K29" s="1667"/>
      <c r="L29" s="1667"/>
      <c r="M29" s="1667"/>
      <c r="N29" s="1663">
        <f t="shared" si="5"/>
        <v>197040</v>
      </c>
      <c r="O29" s="1667">
        <f>'chi tiết (final)'!N93</f>
        <v>7875</v>
      </c>
      <c r="P29" s="1667">
        <f>'chi tiết (final)'!O93</f>
        <v>2160</v>
      </c>
      <c r="Q29" s="1667">
        <f>'chi tiết (final)'!P93</f>
        <v>19180</v>
      </c>
      <c r="R29" s="1667">
        <f>'chi tiết (final)'!Q93</f>
        <v>9750</v>
      </c>
      <c r="S29" s="1667">
        <f>'chi tiết (final)'!R93</f>
        <v>32516</v>
      </c>
      <c r="T29" s="1667">
        <f>'chi tiết (final)'!S93</f>
        <v>30380</v>
      </c>
      <c r="U29" s="1667">
        <f>'chi tiết (final)'!T93</f>
        <v>12135</v>
      </c>
      <c r="V29" s="1667">
        <f>'chi tiết (final)'!U93</f>
        <v>14952</v>
      </c>
      <c r="W29" s="1667">
        <f>'chi tiết (final)'!V93</f>
        <v>32472</v>
      </c>
      <c r="X29" s="1667">
        <f>'chi tiết (final)'!W93</f>
        <v>10800</v>
      </c>
      <c r="Y29" s="1667">
        <f>'chi tiết (final)'!X93</f>
        <v>7440</v>
      </c>
      <c r="Z29" s="1667">
        <f>'chi tiết (final)'!Y93</f>
        <v>17380</v>
      </c>
    </row>
    <row r="30" spans="1:26" s="1483" customFormat="1" ht="33.75">
      <c r="A30" s="1686" t="s">
        <v>247</v>
      </c>
      <c r="B30" s="1681" t="s">
        <v>34</v>
      </c>
      <c r="C30" s="1681" t="s">
        <v>237</v>
      </c>
      <c r="D30" s="1680">
        <f t="shared" si="4"/>
        <v>1007880</v>
      </c>
      <c r="E30" s="1667">
        <f>'chi tiết (final)'!G105</f>
        <v>267080</v>
      </c>
      <c r="F30" s="1667">
        <f>'chi tiết (final)'!H105</f>
        <v>267080</v>
      </c>
      <c r="G30" s="1667">
        <f>'chi tiết (final)'!I105</f>
        <v>0</v>
      </c>
      <c r="H30" s="1667">
        <f>'chi tiết (final)'!J105</f>
        <v>0</v>
      </c>
      <c r="I30" s="1667">
        <f>'chi tiết (final)'!K105</f>
        <v>0</v>
      </c>
      <c r="J30" s="1667">
        <f>'chi tiết (final)'!L105</f>
        <v>0</v>
      </c>
      <c r="K30" s="1667"/>
      <c r="L30" s="1667"/>
      <c r="M30" s="1667"/>
      <c r="N30" s="1663">
        <f t="shared" si="5"/>
        <v>740800</v>
      </c>
      <c r="O30" s="1667">
        <f>'chi tiết (final)'!N105</f>
        <v>69007</v>
      </c>
      <c r="P30" s="1667">
        <f>'chi tiết (final)'!O105</f>
        <v>22400</v>
      </c>
      <c r="Q30" s="1667">
        <f>'chi tiết (final)'!P105</f>
        <v>50944</v>
      </c>
      <c r="R30" s="1667">
        <f>'chi tiết (final)'!Q105</f>
        <v>98691</v>
      </c>
      <c r="S30" s="1667">
        <f>'chi tiết (final)'!R105</f>
        <v>45770</v>
      </c>
      <c r="T30" s="1667">
        <f>'chi tiết (final)'!S105</f>
        <v>32330</v>
      </c>
      <c r="U30" s="1667">
        <f>'chi tiết (final)'!T105</f>
        <v>61480</v>
      </c>
      <c r="V30" s="1667">
        <f>'chi tiết (final)'!U105</f>
        <v>167888</v>
      </c>
      <c r="W30" s="1667">
        <f>'chi tiết (final)'!V105</f>
        <v>82200</v>
      </c>
      <c r="X30" s="1667">
        <f>'chi tiết (final)'!W105</f>
        <v>22030</v>
      </c>
      <c r="Y30" s="1667">
        <f>'chi tiết (final)'!X105</f>
        <v>7620</v>
      </c>
      <c r="Z30" s="1667">
        <f>'chi tiết (final)'!Y105</f>
        <v>80440</v>
      </c>
    </row>
    <row r="31" spans="1:26" s="1483" customFormat="1" ht="22.5">
      <c r="A31" s="1689" t="s">
        <v>828</v>
      </c>
      <c r="B31" s="1681" t="s">
        <v>34</v>
      </c>
      <c r="C31" s="1681" t="s">
        <v>865</v>
      </c>
      <c r="D31" s="1680">
        <f t="shared" si="4"/>
        <v>228422</v>
      </c>
      <c r="E31" s="1667">
        <f>'chi tiết (final)'!G111</f>
        <v>135200</v>
      </c>
      <c r="F31" s="1667">
        <f>'chi tiết (final)'!H111</f>
        <v>135200</v>
      </c>
      <c r="G31" s="1667">
        <f>'chi tiết (final)'!I111</f>
        <v>0</v>
      </c>
      <c r="H31" s="1667">
        <f>'chi tiết (final)'!J111</f>
        <v>0</v>
      </c>
      <c r="I31" s="1667">
        <f>'chi tiết (final)'!K111</f>
        <v>0</v>
      </c>
      <c r="J31" s="1667">
        <f>'chi tiết (final)'!L111</f>
        <v>0</v>
      </c>
      <c r="K31" s="1667"/>
      <c r="L31" s="1667"/>
      <c r="M31" s="1667"/>
      <c r="N31" s="1663">
        <f t="shared" si="5"/>
        <v>93222</v>
      </c>
      <c r="O31" s="1667">
        <f>'chi tiết (final)'!N111</f>
        <v>12938</v>
      </c>
      <c r="P31" s="1667">
        <f>'chi tiết (final)'!O111</f>
        <v>28500</v>
      </c>
      <c r="Q31" s="1667">
        <f>'chi tiết (final)'!P111</f>
        <v>1180</v>
      </c>
      <c r="R31" s="1667">
        <f>'chi tiết (final)'!Q111</f>
        <v>4200</v>
      </c>
      <c r="S31" s="1667">
        <f>'chi tiết (final)'!R111</f>
        <v>0</v>
      </c>
      <c r="T31" s="1667">
        <f>'chi tiết (final)'!S111</f>
        <v>0</v>
      </c>
      <c r="U31" s="1667">
        <f>'chi tiết (final)'!T111</f>
        <v>0</v>
      </c>
      <c r="V31" s="1667">
        <f>'chi tiết (final)'!U111</f>
        <v>0</v>
      </c>
      <c r="W31" s="1667">
        <f>'chi tiết (final)'!V111</f>
        <v>46404</v>
      </c>
      <c r="X31" s="1667">
        <f>'chi tiết (final)'!W111</f>
        <v>0</v>
      </c>
      <c r="Y31" s="1667">
        <f>'chi tiết (final)'!X111</f>
        <v>0</v>
      </c>
      <c r="Z31" s="1667">
        <f>'chi tiết (final)'!Y111</f>
        <v>0</v>
      </c>
    </row>
    <row r="32" spans="1:26" s="1483" customFormat="1" ht="56.25">
      <c r="A32" s="1686" t="s">
        <v>248</v>
      </c>
      <c r="B32" s="1681" t="s">
        <v>34</v>
      </c>
      <c r="C32" s="1687" t="s">
        <v>24</v>
      </c>
      <c r="D32" s="1680">
        <f t="shared" si="4"/>
        <v>157700.204</v>
      </c>
      <c r="E32" s="1667">
        <f>'chi tiết (final)'!G120</f>
        <v>75000</v>
      </c>
      <c r="F32" s="1667">
        <f>'chi tiết (final)'!H120</f>
        <v>75000</v>
      </c>
      <c r="G32" s="1667">
        <f>'chi tiết (final)'!I120</f>
        <v>0</v>
      </c>
      <c r="H32" s="1667">
        <f>'chi tiết (final)'!J120</f>
        <v>0</v>
      </c>
      <c r="I32" s="1667">
        <f>'chi tiết (final)'!K120</f>
        <v>0</v>
      </c>
      <c r="J32" s="1667">
        <f>'chi tiết (final)'!L120</f>
        <v>0</v>
      </c>
      <c r="K32" s="1667"/>
      <c r="L32" s="1667"/>
      <c r="M32" s="1667"/>
      <c r="N32" s="1663">
        <f t="shared" si="5"/>
        <v>82700.203999999998</v>
      </c>
      <c r="O32" s="1667">
        <f>'chi tiết (final)'!N120</f>
        <v>41946</v>
      </c>
      <c r="P32" s="1667">
        <f>'chi tiết (final)'!O120</f>
        <v>4434.2039999999997</v>
      </c>
      <c r="Q32" s="1667">
        <f>'chi tiết (final)'!P120</f>
        <v>2180</v>
      </c>
      <c r="R32" s="1667">
        <f>'chi tiết (final)'!Q120</f>
        <v>4600</v>
      </c>
      <c r="S32" s="1667">
        <f>'chi tiết (final)'!R120</f>
        <v>0</v>
      </c>
      <c r="T32" s="1667">
        <f>'chi tiết (final)'!S120</f>
        <v>1480</v>
      </c>
      <c r="U32" s="1667">
        <f>'chi tiết (final)'!T120</f>
        <v>10740</v>
      </c>
      <c r="V32" s="1667">
        <f>'chi tiết (final)'!U120</f>
        <v>0</v>
      </c>
      <c r="W32" s="1667">
        <f>'chi tiết (final)'!V120</f>
        <v>4260</v>
      </c>
      <c r="X32" s="1667">
        <f>'chi tiết (final)'!W120</f>
        <v>6050</v>
      </c>
      <c r="Y32" s="1667">
        <f>'chi tiết (final)'!X120</f>
        <v>3360</v>
      </c>
      <c r="Z32" s="1667">
        <f>'chi tiết (final)'!Y120</f>
        <v>3650</v>
      </c>
    </row>
    <row r="33" spans="1:26" ht="22.5">
      <c r="A33" s="1690">
        <v>4</v>
      </c>
      <c r="B33" s="1679" t="s">
        <v>34</v>
      </c>
      <c r="C33" s="1691" t="s">
        <v>240</v>
      </c>
      <c r="D33" s="1680">
        <f t="shared" si="4"/>
        <v>314298</v>
      </c>
      <c r="E33" s="1680">
        <f>'chi tiết (final)'!G124</f>
        <v>165000</v>
      </c>
      <c r="F33" s="1680">
        <f>'chi tiết (final)'!H124</f>
        <v>165000</v>
      </c>
      <c r="G33" s="1680">
        <f>'chi tiết (final)'!I124</f>
        <v>0</v>
      </c>
      <c r="H33" s="1680">
        <f>'chi tiết (final)'!J124</f>
        <v>0</v>
      </c>
      <c r="I33" s="1680">
        <f>'chi tiết (final)'!K124</f>
        <v>0</v>
      </c>
      <c r="J33" s="1680">
        <f>'chi tiết (final)'!L124</f>
        <v>0</v>
      </c>
      <c r="K33" s="1680"/>
      <c r="L33" s="1680"/>
      <c r="M33" s="1680"/>
      <c r="N33" s="1663">
        <f t="shared" si="5"/>
        <v>149298</v>
      </c>
      <c r="O33" s="1680">
        <f>'chi tiết (final)'!N124</f>
        <v>9800</v>
      </c>
      <c r="P33" s="1680">
        <f>'chi tiết (final)'!O124</f>
        <v>36200</v>
      </c>
      <c r="Q33" s="1680">
        <f>'chi tiết (final)'!P124</f>
        <v>4680</v>
      </c>
      <c r="R33" s="1680">
        <f>'chi tiết (final)'!Q124</f>
        <v>6390</v>
      </c>
      <c r="S33" s="1680">
        <f>'chi tiết (final)'!R124</f>
        <v>2820</v>
      </c>
      <c r="T33" s="1680">
        <f>'chi tiết (final)'!S124</f>
        <v>9010</v>
      </c>
      <c r="U33" s="1680">
        <f>'chi tiết (final)'!T124</f>
        <v>12710</v>
      </c>
      <c r="V33" s="1680">
        <f>'chi tiết (final)'!U124</f>
        <v>9700</v>
      </c>
      <c r="W33" s="1680">
        <f>'chi tiết (final)'!V124</f>
        <v>13920</v>
      </c>
      <c r="X33" s="1680">
        <f>'chi tiết (final)'!W124</f>
        <v>29828</v>
      </c>
      <c r="Y33" s="1680">
        <f>'chi tiết (final)'!X124</f>
        <v>6200</v>
      </c>
      <c r="Z33" s="1680">
        <f>'chi tiết (final)'!Y124</f>
        <v>8040</v>
      </c>
    </row>
    <row r="34" spans="1:26" ht="22.5">
      <c r="A34" s="1685">
        <v>5</v>
      </c>
      <c r="B34" s="1679" t="s">
        <v>34</v>
      </c>
      <c r="C34" s="1679" t="s">
        <v>236</v>
      </c>
      <c r="D34" s="1680">
        <f t="shared" si="4"/>
        <v>10404126</v>
      </c>
      <c r="E34" s="1680">
        <f>'chi tiết (final)'!G133</f>
        <v>1230070</v>
      </c>
      <c r="F34" s="1680">
        <f>'chi tiết (final)'!H133</f>
        <v>1230070</v>
      </c>
      <c r="G34" s="1680">
        <f>'chi tiết (final)'!I133</f>
        <v>0</v>
      </c>
      <c r="H34" s="1680">
        <f>'chi tiết (final)'!J133</f>
        <v>0</v>
      </c>
      <c r="I34" s="1680">
        <f>'chi tiết (final)'!K133</f>
        <v>0</v>
      </c>
      <c r="J34" s="1680">
        <f>'chi tiết (final)'!L133</f>
        <v>0</v>
      </c>
      <c r="K34" s="1680"/>
      <c r="L34" s="1680"/>
      <c r="M34" s="1680"/>
      <c r="N34" s="1663">
        <f t="shared" si="5"/>
        <v>9174056</v>
      </c>
      <c r="O34" s="1692">
        <v>1372983</v>
      </c>
      <c r="P34" s="1680">
        <f>'chi tiết (final)'!O133</f>
        <v>643210</v>
      </c>
      <c r="Q34" s="1680">
        <f>'chi tiết (final)'!P133</f>
        <v>801695</v>
      </c>
      <c r="R34" s="1680">
        <f>'chi tiết (final)'!Q133</f>
        <v>1123086</v>
      </c>
      <c r="S34" s="1680">
        <f>'chi tiết (final)'!R133</f>
        <v>1101526</v>
      </c>
      <c r="T34" s="1680">
        <f>'chi tiết (final)'!S133</f>
        <v>711665</v>
      </c>
      <c r="U34" s="1680">
        <f>'chi tiết (final)'!T133</f>
        <v>762900</v>
      </c>
      <c r="V34" s="1680">
        <f>'chi tiết (final)'!U133</f>
        <v>284308</v>
      </c>
      <c r="W34" s="1680">
        <f>'chi tiết (final)'!V133</f>
        <v>864591</v>
      </c>
      <c r="X34" s="1680">
        <f>'chi tiết (final)'!W133</f>
        <v>536240</v>
      </c>
      <c r="Y34" s="1680">
        <f>'chi tiết (final)'!X133</f>
        <v>471069</v>
      </c>
      <c r="Z34" s="1680">
        <f>'chi tiết (final)'!Y133</f>
        <v>500783</v>
      </c>
    </row>
    <row r="35" spans="1:26">
      <c r="A35" s="1670">
        <v>6</v>
      </c>
      <c r="B35" s="1670" t="s">
        <v>572</v>
      </c>
      <c r="C35" s="1681" t="s">
        <v>559</v>
      </c>
      <c r="D35" s="1680">
        <f t="shared" si="4"/>
        <v>16142224</v>
      </c>
      <c r="E35" s="1680">
        <f t="shared" ref="E35:Z35" si="9">E36+E37+E38</f>
        <v>6228662</v>
      </c>
      <c r="F35" s="1680">
        <f t="shared" si="9"/>
        <v>0</v>
      </c>
      <c r="G35" s="1680">
        <f t="shared" si="9"/>
        <v>0</v>
      </c>
      <c r="H35" s="1680">
        <f t="shared" si="9"/>
        <v>6228662</v>
      </c>
      <c r="I35" s="1680">
        <f t="shared" si="9"/>
        <v>0</v>
      </c>
      <c r="J35" s="1680">
        <f t="shared" si="9"/>
        <v>0</v>
      </c>
      <c r="K35" s="1680"/>
      <c r="L35" s="1680"/>
      <c r="M35" s="1680"/>
      <c r="N35" s="1663">
        <f t="shared" si="5"/>
        <v>9913562</v>
      </c>
      <c r="O35" s="1680">
        <f t="shared" si="9"/>
        <v>962276</v>
      </c>
      <c r="P35" s="1680">
        <f t="shared" si="9"/>
        <v>330975</v>
      </c>
      <c r="Q35" s="1680">
        <f t="shared" si="9"/>
        <v>791760</v>
      </c>
      <c r="R35" s="1680">
        <f t="shared" si="9"/>
        <v>1370854</v>
      </c>
      <c r="S35" s="1680">
        <f t="shared" si="9"/>
        <v>1092236</v>
      </c>
      <c r="T35" s="1680">
        <f t="shared" si="9"/>
        <v>712553</v>
      </c>
      <c r="U35" s="1680">
        <f t="shared" si="9"/>
        <v>1352521</v>
      </c>
      <c r="V35" s="1680">
        <f t="shared" si="9"/>
        <v>853806</v>
      </c>
      <c r="W35" s="1680">
        <f t="shared" si="9"/>
        <v>945364</v>
      </c>
      <c r="X35" s="1680">
        <f t="shared" si="9"/>
        <v>439444</v>
      </c>
      <c r="Y35" s="1680">
        <f t="shared" si="9"/>
        <v>586399</v>
      </c>
      <c r="Z35" s="1680">
        <f t="shared" si="9"/>
        <v>475374</v>
      </c>
    </row>
    <row r="36" spans="1:26" s="1483" customFormat="1" ht="33.75">
      <c r="A36" s="1689" t="s">
        <v>249</v>
      </c>
      <c r="B36" s="1670" t="s">
        <v>572</v>
      </c>
      <c r="C36" s="1693" t="s">
        <v>560</v>
      </c>
      <c r="D36" s="1680">
        <f t="shared" si="4"/>
        <v>10513932</v>
      </c>
      <c r="E36" s="1667">
        <f>'chi tiết (final)'!G151</f>
        <v>1950612</v>
      </c>
      <c r="F36" s="1667">
        <f>'chi tiết (final)'!H151</f>
        <v>0</v>
      </c>
      <c r="G36" s="1667">
        <f>'chi tiết (final)'!I151</f>
        <v>0</v>
      </c>
      <c r="H36" s="1667">
        <f>'chi tiết (final)'!J151</f>
        <v>1950612</v>
      </c>
      <c r="I36" s="1667">
        <f>'chi tiết (final)'!K151</f>
        <v>0</v>
      </c>
      <c r="J36" s="1667">
        <f>'chi tiết (final)'!L151</f>
        <v>0</v>
      </c>
      <c r="K36" s="1667"/>
      <c r="L36" s="1667"/>
      <c r="M36" s="1667"/>
      <c r="N36" s="1663">
        <f t="shared" si="5"/>
        <v>8563320</v>
      </c>
      <c r="O36" s="1667">
        <f>'chi tiết (final)'!N151</f>
        <v>750656</v>
      </c>
      <c r="P36" s="1667">
        <f>'chi tiết (final)'!O151</f>
        <v>285395</v>
      </c>
      <c r="Q36" s="1667">
        <f>'chi tiết (final)'!P151</f>
        <v>673000</v>
      </c>
      <c r="R36" s="1667">
        <f>'chi tiết (final)'!Q151</f>
        <v>1144184</v>
      </c>
      <c r="S36" s="1667">
        <f>'chi tiết (final)'!R151</f>
        <v>976400</v>
      </c>
      <c r="T36" s="1667">
        <f>'chi tiết (final)'!S151</f>
        <v>641253</v>
      </c>
      <c r="U36" s="1667">
        <f>'chi tiết (final)'!T151</f>
        <v>1214971</v>
      </c>
      <c r="V36" s="1667">
        <f>'chi tiết (final)'!U151</f>
        <v>757906</v>
      </c>
      <c r="W36" s="1667">
        <f>'chi tiết (final)'!V151</f>
        <v>862664</v>
      </c>
      <c r="X36" s="1667">
        <f>'chi tiết (final)'!W151</f>
        <v>364054</v>
      </c>
      <c r="Y36" s="1667">
        <f>'chi tiết (final)'!X151</f>
        <v>493783</v>
      </c>
      <c r="Z36" s="1667">
        <f>'chi tiết (final)'!Y151</f>
        <v>399054</v>
      </c>
    </row>
    <row r="37" spans="1:26" s="1483" customFormat="1" ht="22.5">
      <c r="A37" s="1689" t="s">
        <v>258</v>
      </c>
      <c r="B37" s="1670" t="s">
        <v>572</v>
      </c>
      <c r="C37" s="1694" t="s">
        <v>561</v>
      </c>
      <c r="D37" s="1680">
        <f t="shared" si="4"/>
        <v>4722956</v>
      </c>
      <c r="E37" s="1667">
        <f>'chi tiết (final)'!G167</f>
        <v>4193850</v>
      </c>
      <c r="F37" s="1667">
        <f>'chi tiết (final)'!H167</f>
        <v>0</v>
      </c>
      <c r="G37" s="1667">
        <f>'chi tiết (final)'!I167</f>
        <v>0</v>
      </c>
      <c r="H37" s="1667">
        <f>'chi tiết (final)'!J167</f>
        <v>4193850</v>
      </c>
      <c r="I37" s="1667">
        <f>'chi tiết (final)'!K167</f>
        <v>0</v>
      </c>
      <c r="J37" s="1667">
        <f>'chi tiết (final)'!L167</f>
        <v>0</v>
      </c>
      <c r="K37" s="1667"/>
      <c r="L37" s="1667"/>
      <c r="M37" s="1667"/>
      <c r="N37" s="1663">
        <f t="shared" si="5"/>
        <v>529106</v>
      </c>
      <c r="O37" s="1667">
        <f>'chi tiết (final)'!N167</f>
        <v>80320</v>
      </c>
      <c r="P37" s="1667">
        <f>'chi tiết (final)'!O167</f>
        <v>11620</v>
      </c>
      <c r="Q37" s="1667">
        <f>'chi tiết (final)'!P167</f>
        <v>44600</v>
      </c>
      <c r="R37" s="1667">
        <f>'chi tiết (final)'!Q167</f>
        <v>58000</v>
      </c>
      <c r="S37" s="1667">
        <f>'chi tiết (final)'!R167</f>
        <v>41600</v>
      </c>
      <c r="T37" s="1667">
        <f>'chi tiết (final)'!S167</f>
        <v>35000</v>
      </c>
      <c r="U37" s="1667">
        <f>'chi tiết (final)'!T167</f>
        <v>67500</v>
      </c>
      <c r="V37" s="1667">
        <f>'chi tiết (final)'!U167</f>
        <v>44900</v>
      </c>
      <c r="W37" s="1667">
        <f>'chi tiết (final)'!V167</f>
        <v>29900</v>
      </c>
      <c r="X37" s="1667">
        <f>'chi tiết (final)'!W167</f>
        <v>37650</v>
      </c>
      <c r="Y37" s="1667">
        <f>'chi tiết (final)'!X167</f>
        <v>39916</v>
      </c>
      <c r="Z37" s="1667">
        <f>'chi tiết (final)'!Y167</f>
        <v>38100</v>
      </c>
    </row>
    <row r="38" spans="1:26" s="1483" customFormat="1" ht="33.75">
      <c r="A38" s="1689" t="s">
        <v>277</v>
      </c>
      <c r="B38" s="1670" t="s">
        <v>572</v>
      </c>
      <c r="C38" s="1694" t="s">
        <v>26</v>
      </c>
      <c r="D38" s="1680">
        <f t="shared" si="4"/>
        <v>905336</v>
      </c>
      <c r="E38" s="1667">
        <f>'chi tiết (final)'!G179</f>
        <v>84200</v>
      </c>
      <c r="F38" s="1667">
        <f>'chi tiết (final)'!H179</f>
        <v>0</v>
      </c>
      <c r="G38" s="1667">
        <f>'chi tiết (final)'!I179</f>
        <v>0</v>
      </c>
      <c r="H38" s="1667">
        <f>'chi tiết (final)'!J179</f>
        <v>84200</v>
      </c>
      <c r="I38" s="1667">
        <f>'chi tiết (final)'!K179</f>
        <v>0</v>
      </c>
      <c r="J38" s="1667">
        <f>'chi tiết (final)'!L179</f>
        <v>0</v>
      </c>
      <c r="K38" s="1667"/>
      <c r="L38" s="1667"/>
      <c r="M38" s="1667"/>
      <c r="N38" s="1663">
        <f t="shared" si="5"/>
        <v>821136</v>
      </c>
      <c r="O38" s="1667">
        <f>'chi tiết (final)'!N179</f>
        <v>131300</v>
      </c>
      <c r="P38" s="1667">
        <f>'chi tiết (final)'!O179</f>
        <v>33960</v>
      </c>
      <c r="Q38" s="1667">
        <f>'chi tiết (final)'!P179</f>
        <v>74160</v>
      </c>
      <c r="R38" s="1667">
        <f>'chi tiết (final)'!Q179</f>
        <v>168670</v>
      </c>
      <c r="S38" s="1667">
        <f>'chi tiết (final)'!R179</f>
        <v>74236</v>
      </c>
      <c r="T38" s="1667">
        <f>'chi tiết (final)'!S179</f>
        <v>36300</v>
      </c>
      <c r="U38" s="1667">
        <f>'chi tiết (final)'!T179</f>
        <v>70050</v>
      </c>
      <c r="V38" s="1667">
        <f>'chi tiết (final)'!U179</f>
        <v>51000</v>
      </c>
      <c r="W38" s="1667">
        <f>'chi tiết (final)'!V179</f>
        <v>52800</v>
      </c>
      <c r="X38" s="1667">
        <f>'chi tiết (final)'!W179</f>
        <v>37740</v>
      </c>
      <c r="Y38" s="1667">
        <f>'chi tiết (final)'!X179</f>
        <v>52700</v>
      </c>
      <c r="Z38" s="1667">
        <f>'chi tiết (final)'!Y179</f>
        <v>38220</v>
      </c>
    </row>
    <row r="39" spans="1:26" ht="45">
      <c r="A39" s="1690">
        <v>7</v>
      </c>
      <c r="B39" s="1690" t="s">
        <v>4</v>
      </c>
      <c r="C39" s="1695" t="s">
        <v>25</v>
      </c>
      <c r="D39" s="1680">
        <f t="shared" si="4"/>
        <v>598903</v>
      </c>
      <c r="E39" s="1680">
        <f>'chi tiết (final)'!G185</f>
        <v>196899</v>
      </c>
      <c r="F39" s="1680">
        <f>'chi tiết (final)'!H185</f>
        <v>0</v>
      </c>
      <c r="G39" s="1680">
        <f>'chi tiết (final)'!I185</f>
        <v>0</v>
      </c>
      <c r="H39" s="1680">
        <f>'chi tiết (final)'!J185</f>
        <v>0</v>
      </c>
      <c r="I39" s="1680">
        <f>'chi tiết (final)'!K185</f>
        <v>0</v>
      </c>
      <c r="J39" s="1680">
        <f>'chi tiết (final)'!L185</f>
        <v>196899</v>
      </c>
      <c r="K39" s="1680"/>
      <c r="L39" s="1680"/>
      <c r="M39" s="1680"/>
      <c r="N39" s="1663">
        <f t="shared" si="5"/>
        <v>402004</v>
      </c>
      <c r="O39" s="1680">
        <f>'chi tiết (final)'!N185</f>
        <v>129971</v>
      </c>
      <c r="P39" s="1680">
        <f>'chi tiết (final)'!O185</f>
        <v>8000</v>
      </c>
      <c r="Q39" s="1680">
        <f>'chi tiết (final)'!P185</f>
        <v>4678</v>
      </c>
      <c r="R39" s="1680">
        <f>'chi tiết (final)'!Q185</f>
        <v>129000</v>
      </c>
      <c r="S39" s="1680">
        <f>'chi tiết (final)'!R185</f>
        <v>24080</v>
      </c>
      <c r="T39" s="1680">
        <f>'chi tiết (final)'!S185</f>
        <v>26826</v>
      </c>
      <c r="U39" s="1680">
        <f>'chi tiết (final)'!T185</f>
        <v>16829</v>
      </c>
      <c r="V39" s="1680">
        <f>'chi tiết (final)'!U185</f>
        <v>0</v>
      </c>
      <c r="W39" s="1680">
        <f>'chi tiết (final)'!V185</f>
        <v>3660</v>
      </c>
      <c r="X39" s="1680">
        <f>'chi tiết (final)'!W185</f>
        <v>31950</v>
      </c>
      <c r="Y39" s="1680">
        <f>'chi tiết (final)'!X185</f>
        <v>5650</v>
      </c>
      <c r="Z39" s="1680">
        <f>'chi tiết (final)'!Y185</f>
        <v>21360</v>
      </c>
    </row>
    <row r="40" spans="1:26" ht="33.75">
      <c r="A40" s="1696">
        <v>8</v>
      </c>
      <c r="B40" s="1696" t="s">
        <v>34</v>
      </c>
      <c r="C40" s="1679" t="s">
        <v>533</v>
      </c>
      <c r="D40" s="1680">
        <f t="shared" si="4"/>
        <v>615705</v>
      </c>
      <c r="E40" s="1680">
        <f>'chi tiết (final)'!G191</f>
        <v>260150</v>
      </c>
      <c r="F40" s="1680">
        <f>'chi tiết (final)'!H191</f>
        <v>260150</v>
      </c>
      <c r="G40" s="1680">
        <f>'chi tiết (final)'!I191</f>
        <v>0</v>
      </c>
      <c r="H40" s="1680">
        <f>'chi tiết (final)'!J191</f>
        <v>0</v>
      </c>
      <c r="I40" s="1680">
        <f>'chi tiết (final)'!K191</f>
        <v>0</v>
      </c>
      <c r="J40" s="1680">
        <f>'chi tiết (final)'!L191</f>
        <v>0</v>
      </c>
      <c r="K40" s="1680"/>
      <c r="L40" s="1680"/>
      <c r="M40" s="1680"/>
      <c r="N40" s="1663">
        <f t="shared" si="5"/>
        <v>355555</v>
      </c>
      <c r="O40" s="1680">
        <f>'chi tiết (final)'!N191</f>
        <v>229848</v>
      </c>
      <c r="P40" s="1680">
        <f>'chi tiết (final)'!O191</f>
        <v>62900</v>
      </c>
      <c r="Q40" s="1680">
        <f>'chi tiết (final)'!P191</f>
        <v>143565</v>
      </c>
      <c r="R40" s="1680">
        <f>'chi tiết (final)'!Q191</f>
        <v>35600</v>
      </c>
      <c r="S40" s="1680">
        <f>'chi tiết (final)'!R191</f>
        <v>95136</v>
      </c>
      <c r="T40" s="1680">
        <f>'chi tiết (final)'!S191</f>
        <v>52040</v>
      </c>
      <c r="U40" s="1680">
        <f>'chi tiết (final)'!T191</f>
        <v>17875</v>
      </c>
      <c r="V40" s="1680">
        <f>'chi tiết (final)'!U191</f>
        <v>87264</v>
      </c>
      <c r="W40" s="1692">
        <f>'chi tiết (final)'!V191-600000</f>
        <v>-533033</v>
      </c>
      <c r="X40" s="1680">
        <f>'chi tiết (final)'!W191</f>
        <v>66210</v>
      </c>
      <c r="Y40" s="1680">
        <f>'chi tiết (final)'!X191</f>
        <v>62650</v>
      </c>
      <c r="Z40" s="1680">
        <f>'chi tiết (final)'!Y191</f>
        <v>35500</v>
      </c>
    </row>
    <row r="41" spans="1:26" ht="33.75">
      <c r="A41" s="1696">
        <v>9</v>
      </c>
      <c r="B41" s="1696" t="s">
        <v>34</v>
      </c>
      <c r="C41" s="1679" t="s">
        <v>27</v>
      </c>
      <c r="D41" s="1680">
        <f t="shared" si="4"/>
        <v>1210007</v>
      </c>
      <c r="E41" s="1680">
        <f t="shared" ref="E41:Y41" si="10">E42+E43</f>
        <v>285000</v>
      </c>
      <c r="F41" s="1680">
        <f t="shared" si="10"/>
        <v>285000</v>
      </c>
      <c r="G41" s="1680">
        <f t="shared" si="10"/>
        <v>0</v>
      </c>
      <c r="H41" s="1680">
        <f t="shared" si="10"/>
        <v>0</v>
      </c>
      <c r="I41" s="1680">
        <f t="shared" si="10"/>
        <v>0</v>
      </c>
      <c r="J41" s="1680">
        <f t="shared" si="10"/>
        <v>0</v>
      </c>
      <c r="K41" s="1680"/>
      <c r="L41" s="1680"/>
      <c r="M41" s="1680"/>
      <c r="N41" s="1663">
        <f t="shared" si="5"/>
        <v>925007</v>
      </c>
      <c r="O41" s="1680">
        <f t="shared" si="10"/>
        <v>61700</v>
      </c>
      <c r="P41" s="1680">
        <f t="shared" si="10"/>
        <v>22000</v>
      </c>
      <c r="Q41" s="1680">
        <f t="shared" si="10"/>
        <v>50200</v>
      </c>
      <c r="R41" s="1680">
        <f t="shared" si="10"/>
        <v>20000</v>
      </c>
      <c r="S41" s="1680">
        <f t="shared" si="10"/>
        <v>55594</v>
      </c>
      <c r="T41" s="1680">
        <f t="shared" si="10"/>
        <v>71495</v>
      </c>
      <c r="U41" s="1680">
        <f t="shared" si="10"/>
        <v>164640</v>
      </c>
      <c r="V41" s="1680">
        <f t="shared" si="10"/>
        <v>136378</v>
      </c>
      <c r="W41" s="1680">
        <f t="shared" si="10"/>
        <v>142720</v>
      </c>
      <c r="X41" s="1680">
        <f t="shared" si="10"/>
        <v>84680</v>
      </c>
      <c r="Y41" s="1680">
        <f t="shared" si="10"/>
        <v>76490</v>
      </c>
      <c r="Z41" s="1680">
        <f>Z42+Z43</f>
        <v>39110</v>
      </c>
    </row>
    <row r="42" spans="1:26" s="1483" customFormat="1" ht="22.5">
      <c r="A42" s="1689" t="s">
        <v>259</v>
      </c>
      <c r="B42" s="1686" t="s">
        <v>34</v>
      </c>
      <c r="C42" s="1694" t="s">
        <v>129</v>
      </c>
      <c r="D42" s="1680">
        <f t="shared" si="4"/>
        <v>988897</v>
      </c>
      <c r="E42" s="1667">
        <f>'chi tiết (final)'!G214</f>
        <v>146000</v>
      </c>
      <c r="F42" s="1667">
        <f>'chi tiết (final)'!H214</f>
        <v>146000</v>
      </c>
      <c r="G42" s="1667">
        <f>'chi tiết (final)'!I214</f>
        <v>0</v>
      </c>
      <c r="H42" s="1667">
        <f>'chi tiết (final)'!J214</f>
        <v>0</v>
      </c>
      <c r="I42" s="1667">
        <f>'chi tiết (final)'!K214</f>
        <v>0</v>
      </c>
      <c r="J42" s="1667">
        <f>'chi tiết (final)'!L214</f>
        <v>0</v>
      </c>
      <c r="K42" s="1667"/>
      <c r="L42" s="1667"/>
      <c r="M42" s="1667"/>
      <c r="N42" s="1663">
        <f t="shared" si="5"/>
        <v>842897</v>
      </c>
      <c r="O42" s="1667">
        <f>'chi tiết (final)'!N214</f>
        <v>51600</v>
      </c>
      <c r="P42" s="1667">
        <f>'chi tiết (final)'!O214</f>
        <v>19000</v>
      </c>
      <c r="Q42" s="1667">
        <f>'chi tiết (final)'!P214</f>
        <v>47200</v>
      </c>
      <c r="R42" s="1667">
        <f>'chi tiết (final)'!Q214</f>
        <v>16500</v>
      </c>
      <c r="S42" s="1667">
        <f>'chi tiết (final)'!R214</f>
        <v>52094</v>
      </c>
      <c r="T42" s="1667">
        <f>'chi tiết (final)'!S214</f>
        <v>55865</v>
      </c>
      <c r="U42" s="1667">
        <f>'chi tiết (final)'!T214</f>
        <v>156340</v>
      </c>
      <c r="V42" s="1667">
        <f>'chi tiết (final)'!U214</f>
        <v>127178</v>
      </c>
      <c r="W42" s="1667">
        <f>'chi tiết (final)'!V214</f>
        <v>135960</v>
      </c>
      <c r="X42" s="1667">
        <f>'chi tiết (final)'!W214</f>
        <v>76960</v>
      </c>
      <c r="Y42" s="1667">
        <f>'chi tiết (final)'!X214</f>
        <v>70990</v>
      </c>
      <c r="Z42" s="1667">
        <f>'chi tiết (final)'!Y214</f>
        <v>33210</v>
      </c>
    </row>
    <row r="43" spans="1:26" s="1483" customFormat="1" ht="22.5">
      <c r="A43" s="1689" t="s">
        <v>260</v>
      </c>
      <c r="B43" s="1686" t="s">
        <v>34</v>
      </c>
      <c r="C43" s="1694" t="s">
        <v>130</v>
      </c>
      <c r="D43" s="1680">
        <f t="shared" si="4"/>
        <v>221110</v>
      </c>
      <c r="E43" s="1667">
        <f>'chi tiết (final)'!G225</f>
        <v>139000</v>
      </c>
      <c r="F43" s="1667">
        <f>'chi tiết (final)'!H225</f>
        <v>139000</v>
      </c>
      <c r="G43" s="1667">
        <f>'chi tiết (final)'!I225</f>
        <v>0</v>
      </c>
      <c r="H43" s="1667">
        <f>'chi tiết (final)'!J225</f>
        <v>0</v>
      </c>
      <c r="I43" s="1667">
        <f>'chi tiết (final)'!K225</f>
        <v>0</v>
      </c>
      <c r="J43" s="1667">
        <f>'chi tiết (final)'!L225</f>
        <v>0</v>
      </c>
      <c r="K43" s="1667"/>
      <c r="L43" s="1667"/>
      <c r="M43" s="1667"/>
      <c r="N43" s="1663">
        <f t="shared" si="5"/>
        <v>82110</v>
      </c>
      <c r="O43" s="1667">
        <f>'chi tiết (final)'!N225</f>
        <v>10100</v>
      </c>
      <c r="P43" s="1667">
        <f>'chi tiết (final)'!O225</f>
        <v>3000</v>
      </c>
      <c r="Q43" s="1667">
        <f>'chi tiết (final)'!P225</f>
        <v>3000</v>
      </c>
      <c r="R43" s="1667">
        <f>'chi tiết (final)'!Q225</f>
        <v>3500</v>
      </c>
      <c r="S43" s="1667">
        <f>'chi tiết (final)'!R225</f>
        <v>3500</v>
      </c>
      <c r="T43" s="1667">
        <f>'chi tiết (final)'!S225</f>
        <v>15630</v>
      </c>
      <c r="U43" s="1667">
        <f>'chi tiết (final)'!T225</f>
        <v>8300</v>
      </c>
      <c r="V43" s="1667">
        <f>'chi tiết (final)'!U225</f>
        <v>9200</v>
      </c>
      <c r="W43" s="1667">
        <f>'chi tiết (final)'!V225</f>
        <v>6760</v>
      </c>
      <c r="X43" s="1667">
        <f>'chi tiết (final)'!W225</f>
        <v>7720</v>
      </c>
      <c r="Y43" s="1667">
        <f>'chi tiết (final)'!X225</f>
        <v>5500</v>
      </c>
      <c r="Z43" s="1667">
        <f>'chi tiết (final)'!Y225</f>
        <v>5900</v>
      </c>
    </row>
    <row r="44" spans="1:26" ht="22.5">
      <c r="A44" s="1685">
        <v>10</v>
      </c>
      <c r="B44" s="1696" t="s">
        <v>34</v>
      </c>
      <c r="C44" s="1679" t="s">
        <v>238</v>
      </c>
      <c r="D44" s="1680">
        <f t="shared" si="4"/>
        <v>2294947</v>
      </c>
      <c r="E44" s="1680">
        <f t="shared" ref="E44:Z44" si="11">E45+E46+E47</f>
        <v>1677860</v>
      </c>
      <c r="F44" s="1680">
        <f t="shared" si="11"/>
        <v>320000</v>
      </c>
      <c r="G44" s="1680">
        <f t="shared" si="11"/>
        <v>1357860</v>
      </c>
      <c r="H44" s="1680">
        <f t="shared" si="11"/>
        <v>0</v>
      </c>
      <c r="I44" s="1680">
        <f t="shared" si="11"/>
        <v>0</v>
      </c>
      <c r="J44" s="1680">
        <f t="shared" si="11"/>
        <v>0</v>
      </c>
      <c r="K44" s="1680"/>
      <c r="L44" s="1680"/>
      <c r="M44" s="1680"/>
      <c r="N44" s="1663">
        <f t="shared" si="5"/>
        <v>617087</v>
      </c>
      <c r="O44" s="1680">
        <f t="shared" si="11"/>
        <v>123400</v>
      </c>
      <c r="P44" s="1680">
        <f t="shared" si="11"/>
        <v>90000</v>
      </c>
      <c r="Q44" s="1680">
        <f t="shared" si="11"/>
        <v>8700</v>
      </c>
      <c r="R44" s="1680">
        <f t="shared" si="11"/>
        <v>24220</v>
      </c>
      <c r="S44" s="1680">
        <f t="shared" si="11"/>
        <v>55180</v>
      </c>
      <c r="T44" s="1680">
        <f t="shared" si="11"/>
        <v>42000</v>
      </c>
      <c r="U44" s="1680">
        <f t="shared" si="11"/>
        <v>4547</v>
      </c>
      <c r="V44" s="1680">
        <f t="shared" si="11"/>
        <v>32440</v>
      </c>
      <c r="W44" s="1680">
        <f t="shared" si="11"/>
        <v>41826</v>
      </c>
      <c r="X44" s="1680">
        <f t="shared" si="11"/>
        <v>34010</v>
      </c>
      <c r="Y44" s="1680">
        <f t="shared" si="11"/>
        <v>85764</v>
      </c>
      <c r="Z44" s="1680">
        <f t="shared" si="11"/>
        <v>75000</v>
      </c>
    </row>
    <row r="45" spans="1:26" s="1483" customFormat="1" ht="45">
      <c r="A45" s="1686" t="s">
        <v>583</v>
      </c>
      <c r="B45" s="1686" t="s">
        <v>34</v>
      </c>
      <c r="C45" s="1681" t="s">
        <v>28</v>
      </c>
      <c r="D45" s="1680">
        <f t="shared" si="4"/>
        <v>20000</v>
      </c>
      <c r="E45" s="1667">
        <f>'chi tiết (final)'!G230</f>
        <v>20000</v>
      </c>
      <c r="F45" s="1667">
        <f>'chi tiết (final)'!H230</f>
        <v>20000</v>
      </c>
      <c r="G45" s="1667">
        <f>'chi tiết (final)'!I230</f>
        <v>0</v>
      </c>
      <c r="H45" s="1667">
        <f>'chi tiết (final)'!J230</f>
        <v>0</v>
      </c>
      <c r="I45" s="1667">
        <f>'chi tiết (final)'!K230</f>
        <v>0</v>
      </c>
      <c r="J45" s="1667">
        <f>'chi tiết (final)'!L230</f>
        <v>0</v>
      </c>
      <c r="K45" s="1667"/>
      <c r="L45" s="1667"/>
      <c r="M45" s="1667"/>
      <c r="N45" s="1663">
        <f t="shared" si="5"/>
        <v>0</v>
      </c>
      <c r="O45" s="1667">
        <f>'chi tiết (final)'!N230</f>
        <v>0</v>
      </c>
      <c r="P45" s="1667">
        <f>'chi tiết (final)'!O230</f>
        <v>0</v>
      </c>
      <c r="Q45" s="1667">
        <f>'chi tiết (final)'!P230</f>
        <v>0</v>
      </c>
      <c r="R45" s="1667">
        <f>'chi tiết (final)'!Q230</f>
        <v>0</v>
      </c>
      <c r="S45" s="1667">
        <f>'chi tiết (final)'!R230</f>
        <v>0</v>
      </c>
      <c r="T45" s="1667">
        <f>'chi tiết (final)'!S230</f>
        <v>0</v>
      </c>
      <c r="U45" s="1667">
        <f>'chi tiết (final)'!T230</f>
        <v>0</v>
      </c>
      <c r="V45" s="1667">
        <f>'chi tiết (final)'!U230</f>
        <v>0</v>
      </c>
      <c r="W45" s="1667">
        <f>'chi tiết (final)'!V230</f>
        <v>0</v>
      </c>
      <c r="X45" s="1667">
        <f>'chi tiết (final)'!W230</f>
        <v>0</v>
      </c>
      <c r="Y45" s="1667">
        <f>'chi tiết (final)'!X230</f>
        <v>0</v>
      </c>
      <c r="Z45" s="1667">
        <f>'chi tiết (final)'!Y230</f>
        <v>0</v>
      </c>
    </row>
    <row r="46" spans="1:26" s="1483" customFormat="1" ht="45">
      <c r="A46" s="1697" t="s">
        <v>584</v>
      </c>
      <c r="B46" s="1686" t="s">
        <v>1</v>
      </c>
      <c r="C46" s="1681" t="s">
        <v>28</v>
      </c>
      <c r="D46" s="1680">
        <f t="shared" si="4"/>
        <v>1974947</v>
      </c>
      <c r="E46" s="1667">
        <f>'chi tiết (final)'!G233</f>
        <v>1357860</v>
      </c>
      <c r="F46" s="1667">
        <f>'chi tiết (final)'!H233</f>
        <v>0</v>
      </c>
      <c r="G46" s="1667">
        <f>'chi tiết (final)'!I233</f>
        <v>1357860</v>
      </c>
      <c r="H46" s="1667">
        <f>'chi tiết (final)'!J233</f>
        <v>0</v>
      </c>
      <c r="I46" s="1667">
        <f>'chi tiết (final)'!K233</f>
        <v>0</v>
      </c>
      <c r="J46" s="1667">
        <f>'chi tiết (final)'!L233</f>
        <v>0</v>
      </c>
      <c r="K46" s="1667"/>
      <c r="L46" s="1667"/>
      <c r="M46" s="1667"/>
      <c r="N46" s="1663">
        <f t="shared" si="5"/>
        <v>617087</v>
      </c>
      <c r="O46" s="1667">
        <f>'chi tiết (final)'!N233</f>
        <v>123400</v>
      </c>
      <c r="P46" s="1667">
        <f>'chi tiết (final)'!O233</f>
        <v>90000</v>
      </c>
      <c r="Q46" s="1667">
        <f>'chi tiết (final)'!P233</f>
        <v>8700</v>
      </c>
      <c r="R46" s="1667">
        <f>'chi tiết (final)'!Q233</f>
        <v>24220</v>
      </c>
      <c r="S46" s="1667">
        <f>'chi tiết (final)'!R233</f>
        <v>55180</v>
      </c>
      <c r="T46" s="1667">
        <f>'chi tiết (final)'!S233</f>
        <v>42000</v>
      </c>
      <c r="U46" s="1667">
        <f>'chi tiết (final)'!T233</f>
        <v>4547</v>
      </c>
      <c r="V46" s="1667">
        <f>'chi tiết (final)'!U233</f>
        <v>32440</v>
      </c>
      <c r="W46" s="1667">
        <f>'chi tiết (final)'!V233</f>
        <v>41826</v>
      </c>
      <c r="X46" s="1667">
        <f>'chi tiết (final)'!W233</f>
        <v>34010</v>
      </c>
      <c r="Y46" s="1667">
        <f>'chi tiết (final)'!X233</f>
        <v>85764</v>
      </c>
      <c r="Z46" s="1667">
        <f>'chi tiết (final)'!Y233</f>
        <v>75000</v>
      </c>
    </row>
    <row r="47" spans="1:26" s="1483" customFormat="1" ht="45">
      <c r="A47" s="1686" t="s">
        <v>255</v>
      </c>
      <c r="B47" s="1686" t="s">
        <v>34</v>
      </c>
      <c r="C47" s="1687" t="s">
        <v>30</v>
      </c>
      <c r="D47" s="1680">
        <f t="shared" si="4"/>
        <v>300000</v>
      </c>
      <c r="E47" s="1667">
        <f>'chi tiết (final)'!G241</f>
        <v>300000</v>
      </c>
      <c r="F47" s="1667">
        <f>'chi tiết (final)'!H241</f>
        <v>300000</v>
      </c>
      <c r="G47" s="1667">
        <f>'chi tiết (final)'!I241</f>
        <v>0</v>
      </c>
      <c r="H47" s="1667">
        <f>'chi tiết (final)'!J241</f>
        <v>0</v>
      </c>
      <c r="I47" s="1667">
        <f>'chi tiết (final)'!K241</f>
        <v>0</v>
      </c>
      <c r="J47" s="1667">
        <f>'chi tiết (final)'!L241</f>
        <v>0</v>
      </c>
      <c r="K47" s="1667"/>
      <c r="L47" s="1667"/>
      <c r="M47" s="1667"/>
      <c r="N47" s="1663">
        <f t="shared" si="5"/>
        <v>0</v>
      </c>
      <c r="O47" s="1667">
        <f t="shared" ref="O47:Z47" si="12">P47+V47</f>
        <v>0</v>
      </c>
      <c r="P47" s="1667">
        <f t="shared" si="12"/>
        <v>0</v>
      </c>
      <c r="Q47" s="1667">
        <f t="shared" si="12"/>
        <v>0</v>
      </c>
      <c r="R47" s="1667">
        <f t="shared" si="12"/>
        <v>0</v>
      </c>
      <c r="S47" s="1667">
        <f t="shared" si="12"/>
        <v>0</v>
      </c>
      <c r="T47" s="1667">
        <f t="shared" si="12"/>
        <v>0</v>
      </c>
      <c r="U47" s="1667">
        <f t="shared" si="12"/>
        <v>0</v>
      </c>
      <c r="V47" s="1667">
        <f t="shared" si="12"/>
        <v>0</v>
      </c>
      <c r="W47" s="1667">
        <f t="shared" si="12"/>
        <v>0</v>
      </c>
      <c r="X47" s="1667">
        <f t="shared" si="12"/>
        <v>0</v>
      </c>
      <c r="Y47" s="1667">
        <f t="shared" si="12"/>
        <v>0</v>
      </c>
      <c r="Z47" s="1667">
        <f t="shared" si="12"/>
        <v>0</v>
      </c>
    </row>
    <row r="48" spans="1:26" ht="22.5">
      <c r="A48" s="1685">
        <v>11</v>
      </c>
      <c r="B48" s="1696" t="s">
        <v>34</v>
      </c>
      <c r="C48" s="1679" t="s">
        <v>312</v>
      </c>
      <c r="D48" s="1680">
        <f t="shared" si="4"/>
        <v>3742086</v>
      </c>
      <c r="E48" s="1680">
        <f>'chi tiết (final)'!G247</f>
        <v>2713000</v>
      </c>
      <c r="F48" s="1680">
        <f>'chi tiết (final)'!H247</f>
        <v>2713000</v>
      </c>
      <c r="G48" s="1680">
        <f>'chi tiết (final)'!I247</f>
        <v>0</v>
      </c>
      <c r="H48" s="1680">
        <f>'chi tiết (final)'!J247</f>
        <v>0</v>
      </c>
      <c r="I48" s="1680">
        <f>'chi tiết (final)'!K247</f>
        <v>0</v>
      </c>
      <c r="J48" s="1680">
        <f>'chi tiết (final)'!L247</f>
        <v>0</v>
      </c>
      <c r="K48" s="1680"/>
      <c r="L48" s="1680"/>
      <c r="M48" s="1680"/>
      <c r="N48" s="1663">
        <f t="shared" si="5"/>
        <v>1029086</v>
      </c>
      <c r="O48" s="1680">
        <f>'chi tiết (final)'!N247</f>
        <v>179400</v>
      </c>
      <c r="P48" s="1680">
        <f>'chi tiết (final)'!O247</f>
        <v>36000</v>
      </c>
      <c r="Q48" s="1680">
        <f>'chi tiết (final)'!P247</f>
        <v>2400</v>
      </c>
      <c r="R48" s="1680">
        <f>'chi tiết (final)'!Q247</f>
        <v>43390</v>
      </c>
      <c r="S48" s="1680">
        <f>'chi tiết (final)'!R247</f>
        <v>63376</v>
      </c>
      <c r="T48" s="1680">
        <f>'chi tiết (final)'!S247</f>
        <v>72110</v>
      </c>
      <c r="U48" s="1680">
        <f>'chi tiết (final)'!T247</f>
        <v>90500</v>
      </c>
      <c r="V48" s="1680">
        <f>'chi tiết (final)'!U247</f>
        <v>106130</v>
      </c>
      <c r="W48" s="1680">
        <f>'chi tiết (final)'!V247</f>
        <v>230620</v>
      </c>
      <c r="X48" s="1680">
        <f>'chi tiết (final)'!W247</f>
        <v>28000</v>
      </c>
      <c r="Y48" s="1680">
        <f>'chi tiết (final)'!X247</f>
        <v>94116</v>
      </c>
      <c r="Z48" s="1680">
        <f>'chi tiết (final)'!Y247</f>
        <v>83044</v>
      </c>
    </row>
    <row r="49" spans="1:26" ht="22.5">
      <c r="A49" s="1698">
        <v>12</v>
      </c>
      <c r="B49" s="1696" t="s">
        <v>34</v>
      </c>
      <c r="C49" s="1699" t="s">
        <v>22</v>
      </c>
      <c r="D49" s="1680">
        <f t="shared" si="4"/>
        <v>1279464.2</v>
      </c>
      <c r="E49" s="1680">
        <f>'chi tiết (final)'!G261</f>
        <v>380000</v>
      </c>
      <c r="F49" s="1680">
        <f>'chi tiết (final)'!H261</f>
        <v>380000</v>
      </c>
      <c r="G49" s="1680">
        <f>'chi tiết (final)'!I261</f>
        <v>0</v>
      </c>
      <c r="H49" s="1680">
        <f>'chi tiết (final)'!J261</f>
        <v>0</v>
      </c>
      <c r="I49" s="1680">
        <f>'chi tiết (final)'!K261</f>
        <v>0</v>
      </c>
      <c r="J49" s="1680">
        <f>'chi tiết (final)'!L261</f>
        <v>0</v>
      </c>
      <c r="K49" s="1680"/>
      <c r="L49" s="1680"/>
      <c r="M49" s="1680"/>
      <c r="N49" s="1663">
        <f t="shared" si="5"/>
        <v>899464.2</v>
      </c>
      <c r="O49" s="1692">
        <f>'chi tiết (final)'!N261-300000</f>
        <v>-114357</v>
      </c>
      <c r="P49" s="1680">
        <f>'chi tiết (final)'!O261</f>
        <v>37314</v>
      </c>
      <c r="Q49" s="1680">
        <f>'chi tiết (final)'!P261</f>
        <v>20344</v>
      </c>
      <c r="R49" s="1680">
        <f>'chi tiết (final)'!Q261</f>
        <v>109438</v>
      </c>
      <c r="S49" s="1680">
        <f>'chi tiết (final)'!R261</f>
        <v>138000</v>
      </c>
      <c r="T49" s="1680">
        <f>'chi tiết (final)'!S261</f>
        <v>41214.199999999997</v>
      </c>
      <c r="U49" s="1680">
        <f>'chi tiết (final)'!T261</f>
        <v>109104</v>
      </c>
      <c r="V49" s="1680">
        <f>'chi tiết (final)'!U261</f>
        <v>178678</v>
      </c>
      <c r="W49" s="1680">
        <f>'chi tiết (final)'!V261</f>
        <v>152189</v>
      </c>
      <c r="X49" s="1680">
        <f>'chi tiết (final)'!W261</f>
        <v>110300</v>
      </c>
      <c r="Y49" s="1680">
        <f>'chi tiết (final)'!X261</f>
        <v>57500</v>
      </c>
      <c r="Z49" s="1680">
        <f>'chi tiết (final)'!Y261</f>
        <v>59740</v>
      </c>
    </row>
    <row r="50" spans="1:26" ht="22.5">
      <c r="A50" s="1685">
        <v>13</v>
      </c>
      <c r="B50" s="1685" t="s">
        <v>582</v>
      </c>
      <c r="C50" s="1679" t="s">
        <v>256</v>
      </c>
      <c r="D50" s="1680">
        <f t="shared" si="4"/>
        <v>100000</v>
      </c>
      <c r="E50" s="1680">
        <f>'chi tiết (final)'!G268</f>
        <v>100000</v>
      </c>
      <c r="F50" s="1680">
        <f>'chi tiết (final)'!H268</f>
        <v>0</v>
      </c>
      <c r="G50" s="1680">
        <f>'chi tiết (final)'!I268</f>
        <v>0</v>
      </c>
      <c r="H50" s="1680">
        <f>'chi tiết (final)'!J268</f>
        <v>0</v>
      </c>
      <c r="I50" s="1680">
        <f>'chi tiết (final)'!K268</f>
        <v>100000</v>
      </c>
      <c r="J50" s="1680">
        <f>'chi tiết (final)'!L268</f>
        <v>0</v>
      </c>
      <c r="K50" s="1680"/>
      <c r="L50" s="1680"/>
      <c r="M50" s="1680"/>
      <c r="N50" s="1663">
        <f t="shared" si="5"/>
        <v>0</v>
      </c>
      <c r="O50" s="1680">
        <f>'chi tiết (final)'!N268</f>
        <v>0</v>
      </c>
      <c r="P50" s="1680">
        <f>'chi tiết (final)'!O268</f>
        <v>0</v>
      </c>
      <c r="Q50" s="1680">
        <f>'chi tiết (final)'!P268</f>
        <v>0</v>
      </c>
      <c r="R50" s="1680">
        <f>'chi tiết (final)'!Q268</f>
        <v>0</v>
      </c>
      <c r="S50" s="1680">
        <f>'chi tiết (final)'!R268</f>
        <v>0</v>
      </c>
      <c r="T50" s="1680">
        <f>'chi tiết (final)'!S268</f>
        <v>0</v>
      </c>
      <c r="U50" s="1680">
        <f>'chi tiết (final)'!T268</f>
        <v>0</v>
      </c>
      <c r="V50" s="1680">
        <f>'chi tiết (final)'!U268</f>
        <v>0</v>
      </c>
      <c r="W50" s="1680">
        <f>'chi tiết (final)'!V268</f>
        <v>0</v>
      </c>
      <c r="X50" s="1680">
        <f>'chi tiết (final)'!W268</f>
        <v>0</v>
      </c>
      <c r="Y50" s="1680">
        <f>'chi tiết (final)'!X268</f>
        <v>0</v>
      </c>
      <c r="Z50" s="1680">
        <f>'chi tiết (final)'!Y268</f>
        <v>0</v>
      </c>
    </row>
    <row r="51" spans="1:26" ht="22.5">
      <c r="A51" s="1685">
        <v>14</v>
      </c>
      <c r="B51" s="1685" t="s">
        <v>582</v>
      </c>
      <c r="C51" s="1679" t="s">
        <v>239</v>
      </c>
      <c r="D51" s="1680">
        <f t="shared" si="4"/>
        <v>104920</v>
      </c>
      <c r="E51" s="1680">
        <f>'chi tiết (final)'!G270</f>
        <v>104920</v>
      </c>
      <c r="F51" s="1680">
        <f>'chi tiết (final)'!H270</f>
        <v>0</v>
      </c>
      <c r="G51" s="1680">
        <f>'chi tiết (final)'!I270</f>
        <v>0</v>
      </c>
      <c r="H51" s="1680">
        <f>'chi tiết (final)'!J270</f>
        <v>0</v>
      </c>
      <c r="I51" s="1680">
        <f>'chi tiết (final)'!K270</f>
        <v>104920</v>
      </c>
      <c r="J51" s="1680">
        <f>'chi tiết (final)'!L270</f>
        <v>0</v>
      </c>
      <c r="K51" s="1680"/>
      <c r="L51" s="1680"/>
      <c r="M51" s="1680"/>
      <c r="N51" s="1663">
        <f t="shared" si="5"/>
        <v>0</v>
      </c>
      <c r="O51" s="1680">
        <f>'chi tiết (final)'!N270</f>
        <v>0</v>
      </c>
      <c r="P51" s="1680">
        <f>'chi tiết (final)'!O270</f>
        <v>0</v>
      </c>
      <c r="Q51" s="1680">
        <f>'chi tiết (final)'!P270</f>
        <v>0</v>
      </c>
      <c r="R51" s="1680">
        <f>'chi tiết (final)'!Q270</f>
        <v>0</v>
      </c>
      <c r="S51" s="1680">
        <f>'chi tiết (final)'!R270</f>
        <v>0</v>
      </c>
      <c r="T51" s="1680">
        <f>'chi tiết (final)'!S270</f>
        <v>0</v>
      </c>
      <c r="U51" s="1680">
        <f>'chi tiết (final)'!T270</f>
        <v>0</v>
      </c>
      <c r="V51" s="1680">
        <f>'chi tiết (final)'!U270</f>
        <v>0</v>
      </c>
      <c r="W51" s="1680">
        <f>'chi tiết (final)'!V270</f>
        <v>0</v>
      </c>
      <c r="X51" s="1680">
        <f>'chi tiết (final)'!W270</f>
        <v>0</v>
      </c>
      <c r="Y51" s="1680">
        <f>'chi tiết (final)'!X270</f>
        <v>0</v>
      </c>
      <c r="Z51" s="1680">
        <f>'chi tiết (final)'!Y270</f>
        <v>0</v>
      </c>
    </row>
    <row r="52" spans="1:26" ht="45">
      <c r="A52" s="1696">
        <v>15</v>
      </c>
      <c r="B52" s="1696" t="s">
        <v>34</v>
      </c>
      <c r="C52" s="1695" t="s">
        <v>32</v>
      </c>
      <c r="D52" s="1680">
        <f t="shared" si="4"/>
        <v>355850</v>
      </c>
      <c r="E52" s="1680">
        <f>'chi tiết (final)'!G274</f>
        <v>217000</v>
      </c>
      <c r="F52" s="1680">
        <f>'chi tiết (final)'!H274</f>
        <v>217000</v>
      </c>
      <c r="G52" s="1680">
        <f>'chi tiết (final)'!I274</f>
        <v>0</v>
      </c>
      <c r="H52" s="1680">
        <f>'chi tiết (final)'!J274</f>
        <v>0</v>
      </c>
      <c r="I52" s="1680">
        <f>'chi tiết (final)'!K274</f>
        <v>0</v>
      </c>
      <c r="J52" s="1680">
        <f>'chi tiết (final)'!L274</f>
        <v>0</v>
      </c>
      <c r="K52" s="1680"/>
      <c r="L52" s="1680"/>
      <c r="M52" s="1680"/>
      <c r="N52" s="1663">
        <f t="shared" si="5"/>
        <v>138850</v>
      </c>
      <c r="O52" s="1680">
        <f>'chi tiết (final)'!N274</f>
        <v>11120</v>
      </c>
      <c r="P52" s="1680">
        <f>'chi tiết (final)'!O274</f>
        <v>12000</v>
      </c>
      <c r="Q52" s="1680">
        <f>'chi tiết (final)'!P274</f>
        <v>25160</v>
      </c>
      <c r="R52" s="1680">
        <f>'chi tiết (final)'!Q274</f>
        <v>19000</v>
      </c>
      <c r="S52" s="1680">
        <f>'chi tiết (final)'!R274</f>
        <v>0</v>
      </c>
      <c r="T52" s="1680">
        <f>'chi tiết (final)'!S274</f>
        <v>1840</v>
      </c>
      <c r="U52" s="1680">
        <f>'chi tiết (final)'!T274</f>
        <v>20520</v>
      </c>
      <c r="V52" s="1680">
        <f>'chi tiết (final)'!U274</f>
        <v>1220</v>
      </c>
      <c r="W52" s="1680">
        <f>'chi tiết (final)'!V274</f>
        <v>4390</v>
      </c>
      <c r="X52" s="1680">
        <f>'chi tiết (final)'!W274</f>
        <v>26000</v>
      </c>
      <c r="Y52" s="1680">
        <f>'chi tiết (final)'!X274</f>
        <v>6440</v>
      </c>
      <c r="Z52" s="1680">
        <f>'chi tiết (final)'!Y274</f>
        <v>11160</v>
      </c>
    </row>
    <row r="53" spans="1:26">
      <c r="A53" s="1696">
        <v>16</v>
      </c>
      <c r="B53" s="1696" t="s">
        <v>34</v>
      </c>
      <c r="C53" s="1695" t="s">
        <v>257</v>
      </c>
      <c r="D53" s="1680">
        <f t="shared" si="4"/>
        <v>430000</v>
      </c>
      <c r="E53" s="1680">
        <f>'chi tiết (final)'!G279</f>
        <v>430000</v>
      </c>
      <c r="F53" s="1680">
        <f>'chi tiết (final)'!H279</f>
        <v>430000</v>
      </c>
      <c r="G53" s="1680">
        <f>'chi tiết (final)'!I279</f>
        <v>0</v>
      </c>
      <c r="H53" s="1680">
        <f>'chi tiết (final)'!J279</f>
        <v>0</v>
      </c>
      <c r="I53" s="1680">
        <f>'chi tiết (final)'!K279</f>
        <v>0</v>
      </c>
      <c r="J53" s="1680">
        <f>'chi tiết (final)'!L279</f>
        <v>0</v>
      </c>
      <c r="K53" s="1680"/>
      <c r="L53" s="1680"/>
      <c r="M53" s="1680"/>
      <c r="N53" s="1663">
        <f t="shared" si="5"/>
        <v>0</v>
      </c>
      <c r="O53" s="1680">
        <f>'chi tiết (final)'!N279</f>
        <v>0</v>
      </c>
      <c r="P53" s="1680">
        <f>'chi tiết (final)'!O279</f>
        <v>0</v>
      </c>
      <c r="Q53" s="1680">
        <f>'chi tiết (final)'!P279</f>
        <v>0</v>
      </c>
      <c r="R53" s="1680">
        <f>'chi tiết (final)'!Q279</f>
        <v>0</v>
      </c>
      <c r="S53" s="1680">
        <f>'chi tiết (final)'!R279</f>
        <v>0</v>
      </c>
      <c r="T53" s="1680">
        <f>'chi tiết (final)'!S279</f>
        <v>0</v>
      </c>
      <c r="U53" s="1680">
        <f>'chi tiết (final)'!T279</f>
        <v>0</v>
      </c>
      <c r="V53" s="1680">
        <f>'chi tiết (final)'!U279</f>
        <v>0</v>
      </c>
      <c r="W53" s="1680">
        <f>'chi tiết (final)'!V279</f>
        <v>0</v>
      </c>
      <c r="X53" s="1680">
        <f>'chi tiết (final)'!W279</f>
        <v>0</v>
      </c>
      <c r="Y53" s="1680">
        <f>'chi tiết (final)'!X279</f>
        <v>0</v>
      </c>
      <c r="Z53" s="1680">
        <f>'chi tiết (final)'!Y279</f>
        <v>0</v>
      </c>
    </row>
    <row r="54" spans="1:26" ht="33.75">
      <c r="A54" s="1696">
        <v>17</v>
      </c>
      <c r="B54" s="1696" t="s">
        <v>34</v>
      </c>
      <c r="C54" s="1695" t="s">
        <v>193</v>
      </c>
      <c r="D54" s="1680">
        <f t="shared" si="4"/>
        <v>349760</v>
      </c>
      <c r="E54" s="1680">
        <f>'chi tiết (final)'!G285</f>
        <v>160000</v>
      </c>
      <c r="F54" s="1680">
        <f>'chi tiết (final)'!H285</f>
        <v>160000</v>
      </c>
      <c r="G54" s="1680">
        <f>'chi tiết (final)'!I285</f>
        <v>0</v>
      </c>
      <c r="H54" s="1680">
        <f>'chi tiết (final)'!J285</f>
        <v>0</v>
      </c>
      <c r="I54" s="1680">
        <f>'chi tiết (final)'!K285</f>
        <v>0</v>
      </c>
      <c r="J54" s="1680">
        <f>'chi tiết (final)'!L285</f>
        <v>0</v>
      </c>
      <c r="K54" s="1680"/>
      <c r="L54" s="1680"/>
      <c r="M54" s="1680"/>
      <c r="N54" s="1663">
        <f t="shared" si="5"/>
        <v>189760</v>
      </c>
      <c r="O54" s="1680">
        <f>'chi tiết (final)'!N285</f>
        <v>17180</v>
      </c>
      <c r="P54" s="1680">
        <f>'chi tiết (final)'!O285</f>
        <v>17000</v>
      </c>
      <c r="Q54" s="1680">
        <f>'chi tiết (final)'!P285</f>
        <v>10394</v>
      </c>
      <c r="R54" s="1680">
        <f>'chi tiết (final)'!Q285</f>
        <v>38400</v>
      </c>
      <c r="S54" s="1680">
        <f>'chi tiết (final)'!R285</f>
        <v>15001</v>
      </c>
      <c r="T54" s="1680">
        <f>'chi tiết (final)'!S285</f>
        <v>14840</v>
      </c>
      <c r="U54" s="1680">
        <f>'chi tiết (final)'!T285</f>
        <v>28960</v>
      </c>
      <c r="V54" s="1680">
        <f>'chi tiết (final)'!U285</f>
        <v>11680</v>
      </c>
      <c r="W54" s="1680">
        <f>'chi tiết (final)'!V285</f>
        <v>8115</v>
      </c>
      <c r="X54" s="1680">
        <f>'chi tiết (final)'!W285</f>
        <v>12990</v>
      </c>
      <c r="Y54" s="1680">
        <f>'chi tiết (final)'!X285</f>
        <v>9260</v>
      </c>
      <c r="Z54" s="1680">
        <f>'chi tiết (final)'!Y285</f>
        <v>5940</v>
      </c>
    </row>
    <row r="55" spans="1:26">
      <c r="A55" s="1696">
        <v>18</v>
      </c>
      <c r="B55" s="1696" t="s">
        <v>34</v>
      </c>
      <c r="C55" s="1695" t="s">
        <v>33</v>
      </c>
      <c r="D55" s="1680">
        <f t="shared" si="4"/>
        <v>750692</v>
      </c>
      <c r="E55" s="1680">
        <f>'chi tiết (final)'!G292</f>
        <v>250000</v>
      </c>
      <c r="F55" s="1680">
        <f>'chi tiết (final)'!H292</f>
        <v>250000</v>
      </c>
      <c r="G55" s="1680">
        <f>'chi tiết (final)'!I292</f>
        <v>0</v>
      </c>
      <c r="H55" s="1680">
        <f>'chi tiết (final)'!J292</f>
        <v>0</v>
      </c>
      <c r="I55" s="1680">
        <f>'chi tiết (final)'!K292</f>
        <v>0</v>
      </c>
      <c r="J55" s="1680">
        <f>'chi tiết (final)'!L292</f>
        <v>0</v>
      </c>
      <c r="K55" s="1680"/>
      <c r="L55" s="1680"/>
      <c r="M55" s="1680"/>
      <c r="N55" s="1663">
        <f t="shared" si="5"/>
        <v>500692</v>
      </c>
      <c r="O55" s="1680">
        <f>'chi tiết (final)'!N292</f>
        <v>10800</v>
      </c>
      <c r="P55" s="1680">
        <f>'chi tiết (final)'!O292</f>
        <v>47100</v>
      </c>
      <c r="Q55" s="1680">
        <f>'chi tiết (final)'!P292</f>
        <v>42090</v>
      </c>
      <c r="R55" s="1680">
        <f>'chi tiết (final)'!Q292</f>
        <v>77290</v>
      </c>
      <c r="S55" s="1680">
        <f>'chi tiết (final)'!R292</f>
        <v>57156</v>
      </c>
      <c r="T55" s="1680">
        <f>'chi tiết (final)'!S292</f>
        <v>10920</v>
      </c>
      <c r="U55" s="1680">
        <f>'chi tiết (final)'!T292</f>
        <v>37660</v>
      </c>
      <c r="V55" s="1680">
        <f>'chi tiết (final)'!U292</f>
        <v>32040</v>
      </c>
      <c r="W55" s="1680">
        <f>'chi tiết (final)'!V292</f>
        <v>47166</v>
      </c>
      <c r="X55" s="1680">
        <f>'chi tiết (final)'!W292</f>
        <v>38170</v>
      </c>
      <c r="Y55" s="1680">
        <f>'chi tiết (final)'!X292</f>
        <v>73050</v>
      </c>
      <c r="Z55" s="1680">
        <f>'chi tiết (final)'!Y292</f>
        <v>27250</v>
      </c>
    </row>
    <row r="56" spans="1:26" ht="22.5">
      <c r="A56" s="1696">
        <v>19</v>
      </c>
      <c r="B56" s="1696"/>
      <c r="C56" s="1695" t="s">
        <v>241</v>
      </c>
      <c r="D56" s="1680">
        <f t="shared" si="4"/>
        <v>3958187</v>
      </c>
      <c r="E56" s="1680">
        <f t="shared" ref="E56:Z56" si="13">E57+E58+E59+E60</f>
        <v>2456525</v>
      </c>
      <c r="F56" s="1680">
        <f t="shared" si="13"/>
        <v>1533125</v>
      </c>
      <c r="G56" s="1680">
        <f t="shared" si="13"/>
        <v>278900</v>
      </c>
      <c r="H56" s="1680">
        <f t="shared" si="13"/>
        <v>574500</v>
      </c>
      <c r="I56" s="1680">
        <f t="shared" si="13"/>
        <v>70000</v>
      </c>
      <c r="J56" s="1680">
        <f t="shared" si="13"/>
        <v>0</v>
      </c>
      <c r="K56" s="1680"/>
      <c r="L56" s="1680"/>
      <c r="M56" s="1680"/>
      <c r="N56" s="1663">
        <f t="shared" si="5"/>
        <v>1501662</v>
      </c>
      <c r="O56" s="1680">
        <f t="shared" si="13"/>
        <v>285970</v>
      </c>
      <c r="P56" s="1680">
        <f t="shared" si="13"/>
        <v>50400</v>
      </c>
      <c r="Q56" s="1680">
        <f t="shared" si="13"/>
        <v>105040</v>
      </c>
      <c r="R56" s="1680">
        <f t="shared" si="13"/>
        <v>23900</v>
      </c>
      <c r="S56" s="1680">
        <f t="shared" si="13"/>
        <v>126974</v>
      </c>
      <c r="T56" s="1680">
        <f t="shared" si="13"/>
        <v>136148</v>
      </c>
      <c r="U56" s="1680">
        <f t="shared" si="13"/>
        <v>72867</v>
      </c>
      <c r="V56" s="1680">
        <f t="shared" si="13"/>
        <v>264998</v>
      </c>
      <c r="W56" s="1680">
        <f t="shared" si="13"/>
        <v>165880</v>
      </c>
      <c r="X56" s="1680">
        <f t="shared" si="13"/>
        <v>53755</v>
      </c>
      <c r="Y56" s="1680">
        <f t="shared" si="13"/>
        <v>65030</v>
      </c>
      <c r="Z56" s="1680">
        <f t="shared" si="13"/>
        <v>150700</v>
      </c>
    </row>
    <row r="57" spans="1:26" s="1483" customFormat="1" ht="33.75">
      <c r="A57" s="1686" t="s">
        <v>268</v>
      </c>
      <c r="B57" s="1686" t="s">
        <v>34</v>
      </c>
      <c r="C57" s="1687" t="s">
        <v>262</v>
      </c>
      <c r="D57" s="1680">
        <f t="shared" si="4"/>
        <v>2499352</v>
      </c>
      <c r="E57" s="1667">
        <f>'chi tiết (final)'!G301</f>
        <v>1533125</v>
      </c>
      <c r="F57" s="1667">
        <f>'chi tiết (final)'!H301</f>
        <v>1533125</v>
      </c>
      <c r="G57" s="1667">
        <f>'chi tiết (final)'!I301</f>
        <v>0</v>
      </c>
      <c r="H57" s="1667">
        <f>'chi tiết (final)'!J301</f>
        <v>0</v>
      </c>
      <c r="I57" s="1667">
        <f>'chi tiết (final)'!K301</f>
        <v>0</v>
      </c>
      <c r="J57" s="1667">
        <f>'chi tiết (final)'!L301</f>
        <v>0</v>
      </c>
      <c r="K57" s="1667"/>
      <c r="L57" s="1667"/>
      <c r="M57" s="1667"/>
      <c r="N57" s="1663">
        <f t="shared" si="5"/>
        <v>966227</v>
      </c>
      <c r="O57" s="1667">
        <f>'chi tiết (final)'!N301</f>
        <v>102090</v>
      </c>
      <c r="P57" s="1667">
        <f>'chi tiết (final)'!O301</f>
        <v>8000</v>
      </c>
      <c r="Q57" s="1667">
        <f>'chi tiết (final)'!P301</f>
        <v>93040</v>
      </c>
      <c r="R57" s="1667">
        <f>'chi tiết (final)'!Q301</f>
        <v>12900</v>
      </c>
      <c r="S57" s="1667">
        <f>'chi tiết (final)'!R301</f>
        <v>74894</v>
      </c>
      <c r="T57" s="1667">
        <f>'chi tiết (final)'!S301</f>
        <v>116948</v>
      </c>
      <c r="U57" s="1667">
        <f>'chi tiết (final)'!T301</f>
        <v>28352</v>
      </c>
      <c r="V57" s="1667">
        <f>'chi tiết (final)'!U301</f>
        <v>239278</v>
      </c>
      <c r="W57" s="1667">
        <f>'chi tiết (final)'!V301</f>
        <v>123360</v>
      </c>
      <c r="X57" s="1667">
        <f>'chi tiết (final)'!W301</f>
        <v>43755</v>
      </c>
      <c r="Y57" s="1667">
        <f>'chi tiết (final)'!X301</f>
        <v>33110</v>
      </c>
      <c r="Z57" s="1667">
        <f>'chi tiết (final)'!Y301</f>
        <v>90500</v>
      </c>
    </row>
    <row r="58" spans="1:26" s="1483" customFormat="1" ht="33.75">
      <c r="A58" s="1686" t="s">
        <v>269</v>
      </c>
      <c r="B58" s="1686" t="s">
        <v>1</v>
      </c>
      <c r="C58" s="1687" t="s">
        <v>263</v>
      </c>
      <c r="D58" s="1680">
        <f t="shared" si="4"/>
        <v>628435</v>
      </c>
      <c r="E58" s="1667">
        <f>'chi tiết (final)'!G314</f>
        <v>278900</v>
      </c>
      <c r="F58" s="1667">
        <f>'chi tiết (final)'!H314</f>
        <v>0</v>
      </c>
      <c r="G58" s="1667">
        <f>'chi tiết (final)'!I314</f>
        <v>278900</v>
      </c>
      <c r="H58" s="1667">
        <f>'chi tiết (final)'!J314</f>
        <v>0</v>
      </c>
      <c r="I58" s="1667">
        <f>'chi tiết (final)'!K314</f>
        <v>0</v>
      </c>
      <c r="J58" s="1667">
        <f>'chi tiết (final)'!L314</f>
        <v>0</v>
      </c>
      <c r="K58" s="1667"/>
      <c r="L58" s="1667"/>
      <c r="M58" s="1667"/>
      <c r="N58" s="1663">
        <f t="shared" si="5"/>
        <v>349535</v>
      </c>
      <c r="O58" s="1667">
        <f>'chi tiết (final)'!N314</f>
        <v>148500</v>
      </c>
      <c r="P58" s="1667">
        <f>'chi tiết (final)'!O314</f>
        <v>34000</v>
      </c>
      <c r="Q58" s="1667">
        <f>'chi tiết (final)'!P314</f>
        <v>2000</v>
      </c>
      <c r="R58" s="1667">
        <f>'chi tiết (final)'!Q314</f>
        <v>0</v>
      </c>
      <c r="S58" s="1667">
        <f>'chi tiết (final)'!R314</f>
        <v>5880</v>
      </c>
      <c r="T58" s="1667">
        <f>'chi tiết (final)'!S314</f>
        <v>10000</v>
      </c>
      <c r="U58" s="1667">
        <f>'chi tiết (final)'!T314</f>
        <v>32715</v>
      </c>
      <c r="V58" s="1667">
        <f>'chi tiết (final)'!U314</f>
        <v>15520</v>
      </c>
      <c r="W58" s="1667">
        <f>'chi tiết (final)'!V314</f>
        <v>31720</v>
      </c>
      <c r="X58" s="1667">
        <f>'chi tiết (final)'!W314</f>
        <v>0</v>
      </c>
      <c r="Y58" s="1667">
        <f>'chi tiết (final)'!X314</f>
        <v>19200</v>
      </c>
      <c r="Z58" s="1667">
        <f>'chi tiết (final)'!Y314</f>
        <v>50000</v>
      </c>
    </row>
    <row r="59" spans="1:26" s="1483" customFormat="1" ht="33.75">
      <c r="A59" s="1686" t="s">
        <v>270</v>
      </c>
      <c r="B59" s="1686" t="s">
        <v>2</v>
      </c>
      <c r="C59" s="1687" t="s">
        <v>264</v>
      </c>
      <c r="D59" s="1680">
        <f t="shared" si="4"/>
        <v>760400</v>
      </c>
      <c r="E59" s="1667">
        <f>'chi tiết (final)'!G316</f>
        <v>574500</v>
      </c>
      <c r="F59" s="1667">
        <f>'chi tiết (final)'!H316</f>
        <v>0</v>
      </c>
      <c r="G59" s="1667">
        <f>'chi tiết (final)'!I316</f>
        <v>0</v>
      </c>
      <c r="H59" s="1667">
        <f>'chi tiết (final)'!J316</f>
        <v>574500</v>
      </c>
      <c r="I59" s="1667">
        <f>'chi tiết (final)'!K316</f>
        <v>0</v>
      </c>
      <c r="J59" s="1667">
        <f>'chi tiết (final)'!L316</f>
        <v>0</v>
      </c>
      <c r="K59" s="1667"/>
      <c r="L59" s="1667"/>
      <c r="M59" s="1667"/>
      <c r="N59" s="1663">
        <f t="shared" si="5"/>
        <v>185900</v>
      </c>
      <c r="O59" s="1667">
        <f>'chi tiết (final)'!N316</f>
        <v>35380</v>
      </c>
      <c r="P59" s="1667">
        <f>'chi tiết (final)'!O316</f>
        <v>8400</v>
      </c>
      <c r="Q59" s="1667">
        <f>'chi tiết (final)'!P316</f>
        <v>10000</v>
      </c>
      <c r="R59" s="1667">
        <f>'chi tiết (final)'!Q316</f>
        <v>11000</v>
      </c>
      <c r="S59" s="1667">
        <f>'chi tiết (final)'!R316</f>
        <v>46200</v>
      </c>
      <c r="T59" s="1667">
        <f>'chi tiết (final)'!S316</f>
        <v>9200</v>
      </c>
      <c r="U59" s="1667">
        <f>'chi tiết (final)'!T316</f>
        <v>11800</v>
      </c>
      <c r="V59" s="1667">
        <f>'chi tiết (final)'!U316</f>
        <v>10200</v>
      </c>
      <c r="W59" s="1667">
        <f>'chi tiết (final)'!V316</f>
        <v>10800</v>
      </c>
      <c r="X59" s="1667">
        <f>'chi tiết (final)'!W316</f>
        <v>10000</v>
      </c>
      <c r="Y59" s="1667">
        <f>'chi tiết (final)'!X316</f>
        <v>12720</v>
      </c>
      <c r="Z59" s="1667">
        <f>'chi tiết (final)'!Y316</f>
        <v>10200</v>
      </c>
    </row>
    <row r="60" spans="1:26" s="1483" customFormat="1" ht="78.75">
      <c r="A60" s="1686" t="s">
        <v>271</v>
      </c>
      <c r="B60" s="1686" t="s">
        <v>582</v>
      </c>
      <c r="C60" s="1687" t="s">
        <v>280</v>
      </c>
      <c r="D60" s="1680">
        <f t="shared" si="4"/>
        <v>70000</v>
      </c>
      <c r="E60" s="1667">
        <f>'chi tiết (final)'!G320</f>
        <v>70000</v>
      </c>
      <c r="F60" s="1667">
        <f>'chi tiết (final)'!H320</f>
        <v>0</v>
      </c>
      <c r="G60" s="1667">
        <f>'chi tiết (final)'!I320</f>
        <v>0</v>
      </c>
      <c r="H60" s="1667">
        <f>'chi tiết (final)'!J320</f>
        <v>0</v>
      </c>
      <c r="I60" s="1667">
        <f>'chi tiết (final)'!K320</f>
        <v>70000</v>
      </c>
      <c r="J60" s="1667">
        <f>'chi tiết (final)'!L320</f>
        <v>0</v>
      </c>
      <c r="K60" s="1667"/>
      <c r="L60" s="1667"/>
      <c r="M60" s="1667"/>
      <c r="N60" s="1663">
        <f t="shared" si="5"/>
        <v>0</v>
      </c>
      <c r="O60" s="1667">
        <f>'chi tiết (final)'!N320</f>
        <v>0</v>
      </c>
      <c r="P60" s="1667">
        <f>'chi tiết (final)'!O320</f>
        <v>0</v>
      </c>
      <c r="Q60" s="1667">
        <f>'chi tiết (final)'!P320</f>
        <v>0</v>
      </c>
      <c r="R60" s="1667">
        <f>'chi tiết (final)'!Q320</f>
        <v>0</v>
      </c>
      <c r="S60" s="1667">
        <f>'chi tiết (final)'!R320</f>
        <v>0</v>
      </c>
      <c r="T60" s="1667">
        <f>'chi tiết (final)'!S320</f>
        <v>0</v>
      </c>
      <c r="U60" s="1667">
        <f>'chi tiết (final)'!T320</f>
        <v>0</v>
      </c>
      <c r="V60" s="1667">
        <f>'chi tiết (final)'!U320</f>
        <v>0</v>
      </c>
      <c r="W60" s="1667">
        <f>'chi tiết (final)'!V320</f>
        <v>0</v>
      </c>
      <c r="X60" s="1667">
        <f>'chi tiết (final)'!W320</f>
        <v>0</v>
      </c>
      <c r="Y60" s="1667">
        <f>'chi tiết (final)'!X320</f>
        <v>0</v>
      </c>
      <c r="Z60" s="1667">
        <f>'chi tiết (final)'!Y320</f>
        <v>0</v>
      </c>
    </row>
    <row r="61" spans="1:26" ht="33.75">
      <c r="A61" s="1685">
        <v>20</v>
      </c>
      <c r="B61" s="1686"/>
      <c r="C61" s="1679" t="s">
        <v>242</v>
      </c>
      <c r="D61" s="1680">
        <f t="shared" si="4"/>
        <v>2245467</v>
      </c>
      <c r="E61" s="1680">
        <f t="shared" ref="E61:Z61" si="14">E62+E63+E64+E65</f>
        <v>1511260</v>
      </c>
      <c r="F61" s="1680">
        <f t="shared" si="14"/>
        <v>50000</v>
      </c>
      <c r="G61" s="1680">
        <f t="shared" si="14"/>
        <v>1028240</v>
      </c>
      <c r="H61" s="1680">
        <f t="shared" si="14"/>
        <v>92540</v>
      </c>
      <c r="I61" s="1680">
        <f t="shared" si="14"/>
        <v>163280</v>
      </c>
      <c r="J61" s="1680">
        <f t="shared" si="14"/>
        <v>177200</v>
      </c>
      <c r="K61" s="1680"/>
      <c r="L61" s="1680"/>
      <c r="M61" s="1680"/>
      <c r="N61" s="1663">
        <f t="shared" si="5"/>
        <v>734207</v>
      </c>
      <c r="O61" s="1680">
        <f t="shared" si="14"/>
        <v>190173</v>
      </c>
      <c r="P61" s="1680">
        <f t="shared" si="14"/>
        <v>96440</v>
      </c>
      <c r="Q61" s="1680">
        <f t="shared" si="14"/>
        <v>8476</v>
      </c>
      <c r="R61" s="1680">
        <f t="shared" si="14"/>
        <v>62350</v>
      </c>
      <c r="S61" s="1680">
        <f t="shared" si="14"/>
        <v>74690</v>
      </c>
      <c r="T61" s="1680">
        <f t="shared" si="14"/>
        <v>36560</v>
      </c>
      <c r="U61" s="1680">
        <f t="shared" si="14"/>
        <v>23750</v>
      </c>
      <c r="V61" s="1680">
        <f t="shared" si="14"/>
        <v>61710</v>
      </c>
      <c r="W61" s="1680">
        <f t="shared" si="14"/>
        <v>31728</v>
      </c>
      <c r="X61" s="1680">
        <f t="shared" si="14"/>
        <v>18250</v>
      </c>
      <c r="Y61" s="1680">
        <f t="shared" si="14"/>
        <v>34600</v>
      </c>
      <c r="Z61" s="1680">
        <f t="shared" si="14"/>
        <v>95480</v>
      </c>
    </row>
    <row r="62" spans="1:26" s="1483" customFormat="1" ht="45">
      <c r="A62" s="1670" t="s">
        <v>281</v>
      </c>
      <c r="B62" s="1670" t="s">
        <v>34</v>
      </c>
      <c r="C62" s="1687" t="s">
        <v>265</v>
      </c>
      <c r="D62" s="1680">
        <f t="shared" si="4"/>
        <v>91158</v>
      </c>
      <c r="E62" s="1667">
        <f>'chi tiết (final)'!G324</f>
        <v>50000</v>
      </c>
      <c r="F62" s="1667">
        <f>'chi tiết (final)'!H324</f>
        <v>50000</v>
      </c>
      <c r="G62" s="1667">
        <f>'chi tiết (final)'!I324</f>
        <v>0</v>
      </c>
      <c r="H62" s="1667">
        <f>'chi tiết (final)'!J324</f>
        <v>0</v>
      </c>
      <c r="I62" s="1667">
        <f>'chi tiết (final)'!K324</f>
        <v>0</v>
      </c>
      <c r="J62" s="1667">
        <f>'chi tiết (final)'!L324</f>
        <v>0</v>
      </c>
      <c r="K62" s="1667"/>
      <c r="L62" s="1667"/>
      <c r="M62" s="1667"/>
      <c r="N62" s="1663">
        <f t="shared" si="5"/>
        <v>41158</v>
      </c>
      <c r="O62" s="1667">
        <f>'chi tiết (final)'!N324</f>
        <v>3840</v>
      </c>
      <c r="P62" s="1667">
        <f>'chi tiết (final)'!O324</f>
        <v>0</v>
      </c>
      <c r="Q62" s="1667">
        <f>'chi tiết (final)'!P324</f>
        <v>1600</v>
      </c>
      <c r="R62" s="1667">
        <f>'chi tiết (final)'!Q324</f>
        <v>2400</v>
      </c>
      <c r="S62" s="1667">
        <f>'chi tiết (final)'!R324</f>
        <v>6736</v>
      </c>
      <c r="T62" s="1667">
        <f>'chi tiết (final)'!S324</f>
        <v>1280</v>
      </c>
      <c r="U62" s="1667">
        <f>'chi tiết (final)'!T324</f>
        <v>1520</v>
      </c>
      <c r="V62" s="1667">
        <f>'chi tiết (final)'!U324</f>
        <v>0</v>
      </c>
      <c r="W62" s="1667">
        <f>'chi tiết (final)'!V324</f>
        <v>10392</v>
      </c>
      <c r="X62" s="1667">
        <f>'chi tiết (final)'!W324</f>
        <v>8000</v>
      </c>
      <c r="Y62" s="1667">
        <f>'chi tiết (final)'!X324</f>
        <v>0</v>
      </c>
      <c r="Z62" s="1667">
        <f>'chi tiết (final)'!Y324</f>
        <v>5390</v>
      </c>
    </row>
    <row r="63" spans="1:26" s="1483" customFormat="1" ht="45">
      <c r="A63" s="1689" t="s">
        <v>282</v>
      </c>
      <c r="B63" s="1689" t="s">
        <v>1</v>
      </c>
      <c r="C63" s="1687" t="s">
        <v>266</v>
      </c>
      <c r="D63" s="1680">
        <f t="shared" si="4"/>
        <v>1538731</v>
      </c>
      <c r="E63" s="1667">
        <f>'chi tiết (final)'!G326</f>
        <v>1028240</v>
      </c>
      <c r="F63" s="1667">
        <f>'chi tiết (final)'!H326</f>
        <v>0</v>
      </c>
      <c r="G63" s="1667">
        <f>'chi tiết (final)'!I326</f>
        <v>1028240</v>
      </c>
      <c r="H63" s="1667">
        <f>'chi tiết (final)'!J326</f>
        <v>0</v>
      </c>
      <c r="I63" s="1667">
        <f>'chi tiết (final)'!K326</f>
        <v>0</v>
      </c>
      <c r="J63" s="1667">
        <f>'chi tiết (final)'!L326</f>
        <v>0</v>
      </c>
      <c r="K63" s="1667"/>
      <c r="L63" s="1667"/>
      <c r="M63" s="1667"/>
      <c r="N63" s="1663">
        <f t="shared" si="5"/>
        <v>510491</v>
      </c>
      <c r="O63" s="1667">
        <f>'chi tiết (final)'!N326</f>
        <v>173853</v>
      </c>
      <c r="P63" s="1667">
        <f>'chi tiết (final)'!O326</f>
        <v>92000</v>
      </c>
      <c r="Q63" s="1667">
        <f>'chi tiết (final)'!P326</f>
        <v>0</v>
      </c>
      <c r="R63" s="1667">
        <f>'chi tiết (final)'!Q326</f>
        <v>22320</v>
      </c>
      <c r="S63" s="1667">
        <f>'chi tiết (final)'!R326</f>
        <v>49358</v>
      </c>
      <c r="T63" s="1667">
        <f>'chi tiết (final)'!S326</f>
        <v>20000</v>
      </c>
      <c r="U63" s="1667">
        <f>'chi tiết (final)'!T326</f>
        <v>3040</v>
      </c>
      <c r="V63" s="1667">
        <f>'chi tiết (final)'!U326</f>
        <v>47400</v>
      </c>
      <c r="W63" s="1667">
        <f>'chi tiết (final)'!V326</f>
        <v>0</v>
      </c>
      <c r="X63" s="1667">
        <f>'chi tiết (final)'!W326</f>
        <v>0</v>
      </c>
      <c r="Y63" s="1667">
        <f>'chi tiết (final)'!X326</f>
        <v>27520</v>
      </c>
      <c r="Z63" s="1667">
        <f>'chi tiết (final)'!Y326</f>
        <v>75000</v>
      </c>
    </row>
    <row r="64" spans="1:26" s="1483" customFormat="1" ht="45">
      <c r="A64" s="1689" t="s">
        <v>283</v>
      </c>
      <c r="B64" s="1689" t="s">
        <v>2</v>
      </c>
      <c r="C64" s="1687" t="s">
        <v>267</v>
      </c>
      <c r="D64" s="1680">
        <f t="shared" si="4"/>
        <v>452298</v>
      </c>
      <c r="E64" s="1667">
        <f>'chi tiết (final)'!G332</f>
        <v>269740</v>
      </c>
      <c r="F64" s="1667">
        <f>'chi tiết (final)'!H332</f>
        <v>0</v>
      </c>
      <c r="G64" s="1667">
        <f>'chi tiết (final)'!I332</f>
        <v>0</v>
      </c>
      <c r="H64" s="1667">
        <f>'chi tiết (final)'!J332</f>
        <v>92540</v>
      </c>
      <c r="I64" s="1667">
        <f>'chi tiết (final)'!K332</f>
        <v>0</v>
      </c>
      <c r="J64" s="1667">
        <f>'chi tiết (final)'!L332</f>
        <v>177200</v>
      </c>
      <c r="K64" s="1667"/>
      <c r="L64" s="1667"/>
      <c r="M64" s="1667"/>
      <c r="N64" s="1663">
        <f t="shared" si="5"/>
        <v>182558</v>
      </c>
      <c r="O64" s="1667">
        <f>'chi tiết (final)'!N332</f>
        <v>12480</v>
      </c>
      <c r="P64" s="1667">
        <f>'chi tiết (final)'!O332</f>
        <v>4440</v>
      </c>
      <c r="Q64" s="1667">
        <f>'chi tiết (final)'!P332</f>
        <v>6876</v>
      </c>
      <c r="R64" s="1667">
        <f>'chi tiết (final)'!Q332</f>
        <v>37630</v>
      </c>
      <c r="S64" s="1667">
        <f>'chi tiết (final)'!R332</f>
        <v>18596</v>
      </c>
      <c r="T64" s="1667">
        <f>'chi tiết (final)'!S332</f>
        <v>15280</v>
      </c>
      <c r="U64" s="1667">
        <f>'chi tiết (final)'!T332</f>
        <v>19190</v>
      </c>
      <c r="V64" s="1667">
        <f>'chi tiết (final)'!U332</f>
        <v>14310</v>
      </c>
      <c r="W64" s="1667">
        <f>'chi tiết (final)'!V332</f>
        <v>21336</v>
      </c>
      <c r="X64" s="1667">
        <f>'chi tiết (final)'!W332</f>
        <v>10250</v>
      </c>
      <c r="Y64" s="1667">
        <f>'chi tiết (final)'!X332</f>
        <v>7080</v>
      </c>
      <c r="Z64" s="1667">
        <f>'chi tiết (final)'!Y332</f>
        <v>15090</v>
      </c>
    </row>
    <row r="65" spans="1:26" s="1483" customFormat="1" ht="78.75">
      <c r="A65" s="1689" t="s">
        <v>284</v>
      </c>
      <c r="B65" s="1689" t="s">
        <v>582</v>
      </c>
      <c r="C65" s="1687" t="s">
        <v>279</v>
      </c>
      <c r="D65" s="1680">
        <f t="shared" si="4"/>
        <v>163280</v>
      </c>
      <c r="E65" s="1667">
        <f>'chi tiết (final)'!G335</f>
        <v>163280</v>
      </c>
      <c r="F65" s="1667">
        <f>'chi tiết (final)'!H335</f>
        <v>0</v>
      </c>
      <c r="G65" s="1667">
        <f>'chi tiết (final)'!I335</f>
        <v>0</v>
      </c>
      <c r="H65" s="1667">
        <f>'chi tiết (final)'!J335</f>
        <v>0</v>
      </c>
      <c r="I65" s="1667">
        <f>'chi tiết (final)'!K335</f>
        <v>163280</v>
      </c>
      <c r="J65" s="1667">
        <f>'chi tiết (final)'!L335</f>
        <v>0</v>
      </c>
      <c r="K65" s="1667"/>
      <c r="L65" s="1667"/>
      <c r="M65" s="1667"/>
      <c r="N65" s="1663">
        <f t="shared" si="5"/>
        <v>0</v>
      </c>
      <c r="O65" s="1667">
        <f>'chi tiết (final)'!N335</f>
        <v>0</v>
      </c>
      <c r="P65" s="1667">
        <f>'chi tiết (final)'!O335</f>
        <v>0</v>
      </c>
      <c r="Q65" s="1667">
        <f>'chi tiết (final)'!P335</f>
        <v>0</v>
      </c>
      <c r="R65" s="1667">
        <f>'chi tiết (final)'!Q335</f>
        <v>0</v>
      </c>
      <c r="S65" s="1667">
        <f>'chi tiết (final)'!R335</f>
        <v>0</v>
      </c>
      <c r="T65" s="1667">
        <f>'chi tiết (final)'!S335</f>
        <v>0</v>
      </c>
      <c r="U65" s="1667">
        <f>'chi tiết (final)'!T335</f>
        <v>0</v>
      </c>
      <c r="V65" s="1667">
        <f>'chi tiết (final)'!U335</f>
        <v>0</v>
      </c>
      <c r="W65" s="1667">
        <f>'chi tiết (final)'!V335</f>
        <v>0</v>
      </c>
      <c r="X65" s="1667">
        <f>'chi tiết (final)'!W335</f>
        <v>0</v>
      </c>
      <c r="Y65" s="1667">
        <f>'chi tiết (final)'!X335</f>
        <v>0</v>
      </c>
      <c r="Z65" s="1667">
        <f>'chi tiết (final)'!Y335</f>
        <v>0</v>
      </c>
    </row>
    <row r="66" spans="1:26" ht="38.25" customHeight="1">
      <c r="A66" s="1700" t="s">
        <v>816</v>
      </c>
      <c r="B66" s="1920" t="s">
        <v>848</v>
      </c>
      <c r="C66" s="1920"/>
      <c r="D66" s="1663">
        <f>E66+N66</f>
        <v>464363</v>
      </c>
      <c r="E66" s="1663">
        <f>SUM(F66:J66)</f>
        <v>464363</v>
      </c>
      <c r="F66" s="1701">
        <v>464363</v>
      </c>
      <c r="G66" s="1702"/>
      <c r="H66" s="1702"/>
      <c r="I66" s="1702"/>
      <c r="J66" s="1702"/>
      <c r="K66" s="1702"/>
      <c r="L66" s="1702"/>
      <c r="M66" s="1702"/>
      <c r="N66" s="1702"/>
      <c r="O66" s="1702"/>
      <c r="P66" s="1702"/>
      <c r="Q66" s="1702"/>
      <c r="R66" s="1702"/>
      <c r="S66" s="1702"/>
      <c r="T66" s="1702"/>
      <c r="U66" s="1702"/>
      <c r="V66" s="1702"/>
      <c r="W66" s="1702"/>
      <c r="X66" s="1702"/>
      <c r="Y66" s="1702"/>
      <c r="Z66" s="1702"/>
    </row>
    <row r="67" spans="1:26">
      <c r="D67" s="1481"/>
    </row>
    <row r="68" spans="1:26">
      <c r="D68" s="1481"/>
    </row>
  </sheetData>
  <mergeCells count="11">
    <mergeCell ref="B66:C66"/>
    <mergeCell ref="A16:C16"/>
    <mergeCell ref="A1:Z2"/>
    <mergeCell ref="G3:H3"/>
    <mergeCell ref="Y3:Z3"/>
    <mergeCell ref="A4:A7"/>
    <mergeCell ref="B4:B7"/>
    <mergeCell ref="C4:C7"/>
    <mergeCell ref="D4:D7"/>
    <mergeCell ref="E4:J5"/>
    <mergeCell ref="N4:Z5"/>
  </mergeCells>
  <pageMargins left="0.70866141732283472" right="0.70866141732283472" top="0.74803149606299213" bottom="0.74803149606299213" header="0.31496062992125984" footer="0.31496062992125984"/>
  <pageSetup paperSize="9" scale="5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N115"/>
  <sheetViews>
    <sheetView topLeftCell="A5" zoomScale="90" zoomScaleNormal="90" workbookViewId="0">
      <pane ySplit="1860"/>
      <selection activeCell="A5" sqref="A1:XFD1048576"/>
      <selection pane="bottomLeft" activeCell="I4" sqref="I4"/>
    </sheetView>
  </sheetViews>
  <sheetFormatPr defaultRowHeight="15.75"/>
  <cols>
    <col min="1" max="1" width="7.28515625" style="1547" customWidth="1"/>
    <col min="2" max="2" width="22" style="1547" customWidth="1"/>
    <col min="3" max="3" width="13.85546875" style="1548" customWidth="1"/>
    <col min="4" max="4" width="10.5703125" style="1548" hidden="1" customWidth="1"/>
    <col min="5" max="5" width="11" style="1548" customWidth="1"/>
    <col min="6" max="6" width="13.7109375" style="1547" customWidth="1"/>
    <col min="7" max="7" width="16.140625" style="1547" customWidth="1"/>
    <col min="8" max="8" width="17.28515625" style="1547" customWidth="1"/>
    <col min="9" max="9" width="17.85546875" style="1547" customWidth="1"/>
    <col min="10" max="10" width="21.5703125" style="1547" hidden="1" customWidth="1"/>
    <col min="11" max="11" width="20.7109375" style="1547" hidden="1" customWidth="1"/>
    <col min="12" max="12" width="21.28515625" style="1547" hidden="1" customWidth="1"/>
    <col min="13" max="13" width="19.42578125" style="1547" hidden="1" customWidth="1"/>
    <col min="14" max="14" width="17.140625" style="1547" hidden="1" customWidth="1"/>
    <col min="15" max="256" width="9.140625" style="1547"/>
    <col min="257" max="257" width="7.28515625" style="1547" customWidth="1"/>
    <col min="258" max="258" width="42.7109375" style="1547" customWidth="1"/>
    <col min="259" max="259" width="22.7109375" style="1547" customWidth="1"/>
    <col min="260" max="260" width="0" style="1547" hidden="1" customWidth="1"/>
    <col min="261" max="261" width="17.28515625" style="1547" customWidth="1"/>
    <col min="262" max="262" width="18.5703125" style="1547" customWidth="1"/>
    <col min="263" max="263" width="20" style="1547" customWidth="1"/>
    <col min="264" max="264" width="20.28515625" style="1547" customWidth="1"/>
    <col min="265" max="265" width="21.5703125" style="1547" customWidth="1"/>
    <col min="266" max="270" width="0" style="1547" hidden="1" customWidth="1"/>
    <col min="271" max="512" width="9.140625" style="1547"/>
    <col min="513" max="513" width="7.28515625" style="1547" customWidth="1"/>
    <col min="514" max="514" width="42.7109375" style="1547" customWidth="1"/>
    <col min="515" max="515" width="22.7109375" style="1547" customWidth="1"/>
    <col min="516" max="516" width="0" style="1547" hidden="1" customWidth="1"/>
    <col min="517" max="517" width="17.28515625" style="1547" customWidth="1"/>
    <col min="518" max="518" width="18.5703125" style="1547" customWidth="1"/>
    <col min="519" max="519" width="20" style="1547" customWidth="1"/>
    <col min="520" max="520" width="20.28515625" style="1547" customWidth="1"/>
    <col min="521" max="521" width="21.5703125" style="1547" customWidth="1"/>
    <col min="522" max="526" width="0" style="1547" hidden="1" customWidth="1"/>
    <col min="527" max="768" width="9.140625" style="1547"/>
    <col min="769" max="769" width="7.28515625" style="1547" customWidth="1"/>
    <col min="770" max="770" width="42.7109375" style="1547" customWidth="1"/>
    <col min="771" max="771" width="22.7109375" style="1547" customWidth="1"/>
    <col min="772" max="772" width="0" style="1547" hidden="1" customWidth="1"/>
    <col min="773" max="773" width="17.28515625" style="1547" customWidth="1"/>
    <col min="774" max="774" width="18.5703125" style="1547" customWidth="1"/>
    <col min="775" max="775" width="20" style="1547" customWidth="1"/>
    <col min="776" max="776" width="20.28515625" style="1547" customWidth="1"/>
    <col min="777" max="777" width="21.5703125" style="1547" customWidth="1"/>
    <col min="778" max="782" width="0" style="1547" hidden="1" customWidth="1"/>
    <col min="783" max="1024" width="9.140625" style="1547"/>
    <col min="1025" max="1025" width="7.28515625" style="1547" customWidth="1"/>
    <col min="1026" max="1026" width="42.7109375" style="1547" customWidth="1"/>
    <col min="1027" max="1027" width="22.7109375" style="1547" customWidth="1"/>
    <col min="1028" max="1028" width="0" style="1547" hidden="1" customWidth="1"/>
    <col min="1029" max="1029" width="17.28515625" style="1547" customWidth="1"/>
    <col min="1030" max="1030" width="18.5703125" style="1547" customWidth="1"/>
    <col min="1031" max="1031" width="20" style="1547" customWidth="1"/>
    <col min="1032" max="1032" width="20.28515625" style="1547" customWidth="1"/>
    <col min="1033" max="1033" width="21.5703125" style="1547" customWidth="1"/>
    <col min="1034" max="1038" width="0" style="1547" hidden="1" customWidth="1"/>
    <col min="1039" max="1280" width="9.140625" style="1547"/>
    <col min="1281" max="1281" width="7.28515625" style="1547" customWidth="1"/>
    <col min="1282" max="1282" width="42.7109375" style="1547" customWidth="1"/>
    <col min="1283" max="1283" width="22.7109375" style="1547" customWidth="1"/>
    <col min="1284" max="1284" width="0" style="1547" hidden="1" customWidth="1"/>
    <col min="1285" max="1285" width="17.28515625" style="1547" customWidth="1"/>
    <col min="1286" max="1286" width="18.5703125" style="1547" customWidth="1"/>
    <col min="1287" max="1287" width="20" style="1547" customWidth="1"/>
    <col min="1288" max="1288" width="20.28515625" style="1547" customWidth="1"/>
    <col min="1289" max="1289" width="21.5703125" style="1547" customWidth="1"/>
    <col min="1290" max="1294" width="0" style="1547" hidden="1" customWidth="1"/>
    <col min="1295" max="1536" width="9.140625" style="1547"/>
    <col min="1537" max="1537" width="7.28515625" style="1547" customWidth="1"/>
    <col min="1538" max="1538" width="42.7109375" style="1547" customWidth="1"/>
    <col min="1539" max="1539" width="22.7109375" style="1547" customWidth="1"/>
    <col min="1540" max="1540" width="0" style="1547" hidden="1" customWidth="1"/>
    <col min="1541" max="1541" width="17.28515625" style="1547" customWidth="1"/>
    <col min="1542" max="1542" width="18.5703125" style="1547" customWidth="1"/>
    <col min="1543" max="1543" width="20" style="1547" customWidth="1"/>
    <col min="1544" max="1544" width="20.28515625" style="1547" customWidth="1"/>
    <col min="1545" max="1545" width="21.5703125" style="1547" customWidth="1"/>
    <col min="1546" max="1550" width="0" style="1547" hidden="1" customWidth="1"/>
    <col min="1551" max="1792" width="9.140625" style="1547"/>
    <col min="1793" max="1793" width="7.28515625" style="1547" customWidth="1"/>
    <col min="1794" max="1794" width="42.7109375" style="1547" customWidth="1"/>
    <col min="1795" max="1795" width="22.7109375" style="1547" customWidth="1"/>
    <col min="1796" max="1796" width="0" style="1547" hidden="1" customWidth="1"/>
    <col min="1797" max="1797" width="17.28515625" style="1547" customWidth="1"/>
    <col min="1798" max="1798" width="18.5703125" style="1547" customWidth="1"/>
    <col min="1799" max="1799" width="20" style="1547" customWidth="1"/>
    <col min="1800" max="1800" width="20.28515625" style="1547" customWidth="1"/>
    <col min="1801" max="1801" width="21.5703125" style="1547" customWidth="1"/>
    <col min="1802" max="1806" width="0" style="1547" hidden="1" customWidth="1"/>
    <col min="1807" max="2048" width="9.140625" style="1547"/>
    <col min="2049" max="2049" width="7.28515625" style="1547" customWidth="1"/>
    <col min="2050" max="2050" width="42.7109375" style="1547" customWidth="1"/>
    <col min="2051" max="2051" width="22.7109375" style="1547" customWidth="1"/>
    <col min="2052" max="2052" width="0" style="1547" hidden="1" customWidth="1"/>
    <col min="2053" max="2053" width="17.28515625" style="1547" customWidth="1"/>
    <col min="2054" max="2054" width="18.5703125" style="1547" customWidth="1"/>
    <col min="2055" max="2055" width="20" style="1547" customWidth="1"/>
    <col min="2056" max="2056" width="20.28515625" style="1547" customWidth="1"/>
    <col min="2057" max="2057" width="21.5703125" style="1547" customWidth="1"/>
    <col min="2058" max="2062" width="0" style="1547" hidden="1" customWidth="1"/>
    <col min="2063" max="2304" width="9.140625" style="1547"/>
    <col min="2305" max="2305" width="7.28515625" style="1547" customWidth="1"/>
    <col min="2306" max="2306" width="42.7109375" style="1547" customWidth="1"/>
    <col min="2307" max="2307" width="22.7109375" style="1547" customWidth="1"/>
    <col min="2308" max="2308" width="0" style="1547" hidden="1" customWidth="1"/>
    <col min="2309" max="2309" width="17.28515625" style="1547" customWidth="1"/>
    <col min="2310" max="2310" width="18.5703125" style="1547" customWidth="1"/>
    <col min="2311" max="2311" width="20" style="1547" customWidth="1"/>
    <col min="2312" max="2312" width="20.28515625" style="1547" customWidth="1"/>
    <col min="2313" max="2313" width="21.5703125" style="1547" customWidth="1"/>
    <col min="2314" max="2318" width="0" style="1547" hidden="1" customWidth="1"/>
    <col min="2319" max="2560" width="9.140625" style="1547"/>
    <col min="2561" max="2561" width="7.28515625" style="1547" customWidth="1"/>
    <col min="2562" max="2562" width="42.7109375" style="1547" customWidth="1"/>
    <col min="2563" max="2563" width="22.7109375" style="1547" customWidth="1"/>
    <col min="2564" max="2564" width="0" style="1547" hidden="1" customWidth="1"/>
    <col min="2565" max="2565" width="17.28515625" style="1547" customWidth="1"/>
    <col min="2566" max="2566" width="18.5703125" style="1547" customWidth="1"/>
    <col min="2567" max="2567" width="20" style="1547" customWidth="1"/>
    <col min="2568" max="2568" width="20.28515625" style="1547" customWidth="1"/>
    <col min="2569" max="2569" width="21.5703125" style="1547" customWidth="1"/>
    <col min="2570" max="2574" width="0" style="1547" hidden="1" customWidth="1"/>
    <col min="2575" max="2816" width="9.140625" style="1547"/>
    <col min="2817" max="2817" width="7.28515625" style="1547" customWidth="1"/>
    <col min="2818" max="2818" width="42.7109375" style="1547" customWidth="1"/>
    <col min="2819" max="2819" width="22.7109375" style="1547" customWidth="1"/>
    <col min="2820" max="2820" width="0" style="1547" hidden="1" customWidth="1"/>
    <col min="2821" max="2821" width="17.28515625" style="1547" customWidth="1"/>
    <col min="2822" max="2822" width="18.5703125" style="1547" customWidth="1"/>
    <col min="2823" max="2823" width="20" style="1547" customWidth="1"/>
    <col min="2824" max="2824" width="20.28515625" style="1547" customWidth="1"/>
    <col min="2825" max="2825" width="21.5703125" style="1547" customWidth="1"/>
    <col min="2826" max="2830" width="0" style="1547" hidden="1" customWidth="1"/>
    <col min="2831" max="3072" width="9.140625" style="1547"/>
    <col min="3073" max="3073" width="7.28515625" style="1547" customWidth="1"/>
    <col min="3074" max="3074" width="42.7109375" style="1547" customWidth="1"/>
    <col min="3075" max="3075" width="22.7109375" style="1547" customWidth="1"/>
    <col min="3076" max="3076" width="0" style="1547" hidden="1" customWidth="1"/>
    <col min="3077" max="3077" width="17.28515625" style="1547" customWidth="1"/>
    <col min="3078" max="3078" width="18.5703125" style="1547" customWidth="1"/>
    <col min="3079" max="3079" width="20" style="1547" customWidth="1"/>
    <col min="3080" max="3080" width="20.28515625" style="1547" customWidth="1"/>
    <col min="3081" max="3081" width="21.5703125" style="1547" customWidth="1"/>
    <col min="3082" max="3086" width="0" style="1547" hidden="1" customWidth="1"/>
    <col min="3087" max="3328" width="9.140625" style="1547"/>
    <col min="3329" max="3329" width="7.28515625" style="1547" customWidth="1"/>
    <col min="3330" max="3330" width="42.7109375" style="1547" customWidth="1"/>
    <col min="3331" max="3331" width="22.7109375" style="1547" customWidth="1"/>
    <col min="3332" max="3332" width="0" style="1547" hidden="1" customWidth="1"/>
    <col min="3333" max="3333" width="17.28515625" style="1547" customWidth="1"/>
    <col min="3334" max="3334" width="18.5703125" style="1547" customWidth="1"/>
    <col min="3335" max="3335" width="20" style="1547" customWidth="1"/>
    <col min="3336" max="3336" width="20.28515625" style="1547" customWidth="1"/>
    <col min="3337" max="3337" width="21.5703125" style="1547" customWidth="1"/>
    <col min="3338" max="3342" width="0" style="1547" hidden="1" customWidth="1"/>
    <col min="3343" max="3584" width="9.140625" style="1547"/>
    <col min="3585" max="3585" width="7.28515625" style="1547" customWidth="1"/>
    <col min="3586" max="3586" width="42.7109375" style="1547" customWidth="1"/>
    <col min="3587" max="3587" width="22.7109375" style="1547" customWidth="1"/>
    <col min="3588" max="3588" width="0" style="1547" hidden="1" customWidth="1"/>
    <col min="3589" max="3589" width="17.28515625" style="1547" customWidth="1"/>
    <col min="3590" max="3590" width="18.5703125" style="1547" customWidth="1"/>
    <col min="3591" max="3591" width="20" style="1547" customWidth="1"/>
    <col min="3592" max="3592" width="20.28515625" style="1547" customWidth="1"/>
    <col min="3593" max="3593" width="21.5703125" style="1547" customWidth="1"/>
    <col min="3594" max="3598" width="0" style="1547" hidden="1" customWidth="1"/>
    <col min="3599" max="3840" width="9.140625" style="1547"/>
    <col min="3841" max="3841" width="7.28515625" style="1547" customWidth="1"/>
    <col min="3842" max="3842" width="42.7109375" style="1547" customWidth="1"/>
    <col min="3843" max="3843" width="22.7109375" style="1547" customWidth="1"/>
    <col min="3844" max="3844" width="0" style="1547" hidden="1" customWidth="1"/>
    <col min="3845" max="3845" width="17.28515625" style="1547" customWidth="1"/>
    <col min="3846" max="3846" width="18.5703125" style="1547" customWidth="1"/>
    <col min="3847" max="3847" width="20" style="1547" customWidth="1"/>
    <col min="3848" max="3848" width="20.28515625" style="1547" customWidth="1"/>
    <col min="3849" max="3849" width="21.5703125" style="1547" customWidth="1"/>
    <col min="3850" max="3854" width="0" style="1547" hidden="1" customWidth="1"/>
    <col min="3855" max="4096" width="9.140625" style="1547"/>
    <col min="4097" max="4097" width="7.28515625" style="1547" customWidth="1"/>
    <col min="4098" max="4098" width="42.7109375" style="1547" customWidth="1"/>
    <col min="4099" max="4099" width="22.7109375" style="1547" customWidth="1"/>
    <col min="4100" max="4100" width="0" style="1547" hidden="1" customWidth="1"/>
    <col min="4101" max="4101" width="17.28515625" style="1547" customWidth="1"/>
    <col min="4102" max="4102" width="18.5703125" style="1547" customWidth="1"/>
    <col min="4103" max="4103" width="20" style="1547" customWidth="1"/>
    <col min="4104" max="4104" width="20.28515625" style="1547" customWidth="1"/>
    <col min="4105" max="4105" width="21.5703125" style="1547" customWidth="1"/>
    <col min="4106" max="4110" width="0" style="1547" hidden="1" customWidth="1"/>
    <col min="4111" max="4352" width="9.140625" style="1547"/>
    <col min="4353" max="4353" width="7.28515625" style="1547" customWidth="1"/>
    <col min="4354" max="4354" width="42.7109375" style="1547" customWidth="1"/>
    <col min="4355" max="4355" width="22.7109375" style="1547" customWidth="1"/>
    <col min="4356" max="4356" width="0" style="1547" hidden="1" customWidth="1"/>
    <col min="4357" max="4357" width="17.28515625" style="1547" customWidth="1"/>
    <col min="4358" max="4358" width="18.5703125" style="1547" customWidth="1"/>
    <col min="4359" max="4359" width="20" style="1547" customWidth="1"/>
    <col min="4360" max="4360" width="20.28515625" style="1547" customWidth="1"/>
    <col min="4361" max="4361" width="21.5703125" style="1547" customWidth="1"/>
    <col min="4362" max="4366" width="0" style="1547" hidden="1" customWidth="1"/>
    <col min="4367" max="4608" width="9.140625" style="1547"/>
    <col min="4609" max="4609" width="7.28515625" style="1547" customWidth="1"/>
    <col min="4610" max="4610" width="42.7109375" style="1547" customWidth="1"/>
    <col min="4611" max="4611" width="22.7109375" style="1547" customWidth="1"/>
    <col min="4612" max="4612" width="0" style="1547" hidden="1" customWidth="1"/>
    <col min="4613" max="4613" width="17.28515625" style="1547" customWidth="1"/>
    <col min="4614" max="4614" width="18.5703125" style="1547" customWidth="1"/>
    <col min="4615" max="4615" width="20" style="1547" customWidth="1"/>
    <col min="4616" max="4616" width="20.28515625" style="1547" customWidth="1"/>
    <col min="4617" max="4617" width="21.5703125" style="1547" customWidth="1"/>
    <col min="4618" max="4622" width="0" style="1547" hidden="1" customWidth="1"/>
    <col min="4623" max="4864" width="9.140625" style="1547"/>
    <col min="4865" max="4865" width="7.28515625" style="1547" customWidth="1"/>
    <col min="4866" max="4866" width="42.7109375" style="1547" customWidth="1"/>
    <col min="4867" max="4867" width="22.7109375" style="1547" customWidth="1"/>
    <col min="4868" max="4868" width="0" style="1547" hidden="1" customWidth="1"/>
    <col min="4869" max="4869" width="17.28515625" style="1547" customWidth="1"/>
    <col min="4870" max="4870" width="18.5703125" style="1547" customWidth="1"/>
    <col min="4871" max="4871" width="20" style="1547" customWidth="1"/>
    <col min="4872" max="4872" width="20.28515625" style="1547" customWidth="1"/>
    <col min="4873" max="4873" width="21.5703125" style="1547" customWidth="1"/>
    <col min="4874" max="4878" width="0" style="1547" hidden="1" customWidth="1"/>
    <col min="4879" max="5120" width="9.140625" style="1547"/>
    <col min="5121" max="5121" width="7.28515625" style="1547" customWidth="1"/>
    <col min="5122" max="5122" width="42.7109375" style="1547" customWidth="1"/>
    <col min="5123" max="5123" width="22.7109375" style="1547" customWidth="1"/>
    <col min="5124" max="5124" width="0" style="1547" hidden="1" customWidth="1"/>
    <col min="5125" max="5125" width="17.28515625" style="1547" customWidth="1"/>
    <col min="5126" max="5126" width="18.5703125" style="1547" customWidth="1"/>
    <col min="5127" max="5127" width="20" style="1547" customWidth="1"/>
    <col min="5128" max="5128" width="20.28515625" style="1547" customWidth="1"/>
    <col min="5129" max="5129" width="21.5703125" style="1547" customWidth="1"/>
    <col min="5130" max="5134" width="0" style="1547" hidden="1" customWidth="1"/>
    <col min="5135" max="5376" width="9.140625" style="1547"/>
    <col min="5377" max="5377" width="7.28515625" style="1547" customWidth="1"/>
    <col min="5378" max="5378" width="42.7109375" style="1547" customWidth="1"/>
    <col min="5379" max="5379" width="22.7109375" style="1547" customWidth="1"/>
    <col min="5380" max="5380" width="0" style="1547" hidden="1" customWidth="1"/>
    <col min="5381" max="5381" width="17.28515625" style="1547" customWidth="1"/>
    <col min="5382" max="5382" width="18.5703125" style="1547" customWidth="1"/>
    <col min="5383" max="5383" width="20" style="1547" customWidth="1"/>
    <col min="5384" max="5384" width="20.28515625" style="1547" customWidth="1"/>
    <col min="5385" max="5385" width="21.5703125" style="1547" customWidth="1"/>
    <col min="5386" max="5390" width="0" style="1547" hidden="1" customWidth="1"/>
    <col min="5391" max="5632" width="9.140625" style="1547"/>
    <col min="5633" max="5633" width="7.28515625" style="1547" customWidth="1"/>
    <col min="5634" max="5634" width="42.7109375" style="1547" customWidth="1"/>
    <col min="5635" max="5635" width="22.7109375" style="1547" customWidth="1"/>
    <col min="5636" max="5636" width="0" style="1547" hidden="1" customWidth="1"/>
    <col min="5637" max="5637" width="17.28515625" style="1547" customWidth="1"/>
    <col min="5638" max="5638" width="18.5703125" style="1547" customWidth="1"/>
    <col min="5639" max="5639" width="20" style="1547" customWidth="1"/>
    <col min="5640" max="5640" width="20.28515625" style="1547" customWidth="1"/>
    <col min="5641" max="5641" width="21.5703125" style="1547" customWidth="1"/>
    <col min="5642" max="5646" width="0" style="1547" hidden="1" customWidth="1"/>
    <col min="5647" max="5888" width="9.140625" style="1547"/>
    <col min="5889" max="5889" width="7.28515625" style="1547" customWidth="1"/>
    <col min="5890" max="5890" width="42.7109375" style="1547" customWidth="1"/>
    <col min="5891" max="5891" width="22.7109375" style="1547" customWidth="1"/>
    <col min="5892" max="5892" width="0" style="1547" hidden="1" customWidth="1"/>
    <col min="5893" max="5893" width="17.28515625" style="1547" customWidth="1"/>
    <col min="5894" max="5894" width="18.5703125" style="1547" customWidth="1"/>
    <col min="5895" max="5895" width="20" style="1547" customWidth="1"/>
    <col min="5896" max="5896" width="20.28515625" style="1547" customWidth="1"/>
    <col min="5897" max="5897" width="21.5703125" style="1547" customWidth="1"/>
    <col min="5898" max="5902" width="0" style="1547" hidden="1" customWidth="1"/>
    <col min="5903" max="6144" width="9.140625" style="1547"/>
    <col min="6145" max="6145" width="7.28515625" style="1547" customWidth="1"/>
    <col min="6146" max="6146" width="42.7109375" style="1547" customWidth="1"/>
    <col min="6147" max="6147" width="22.7109375" style="1547" customWidth="1"/>
    <col min="6148" max="6148" width="0" style="1547" hidden="1" customWidth="1"/>
    <col min="6149" max="6149" width="17.28515625" style="1547" customWidth="1"/>
    <col min="6150" max="6150" width="18.5703125" style="1547" customWidth="1"/>
    <col min="6151" max="6151" width="20" style="1547" customWidth="1"/>
    <col min="6152" max="6152" width="20.28515625" style="1547" customWidth="1"/>
    <col min="6153" max="6153" width="21.5703125" style="1547" customWidth="1"/>
    <col min="6154" max="6158" width="0" style="1547" hidden="1" customWidth="1"/>
    <col min="6159" max="6400" width="9.140625" style="1547"/>
    <col min="6401" max="6401" width="7.28515625" style="1547" customWidth="1"/>
    <col min="6402" max="6402" width="42.7109375" style="1547" customWidth="1"/>
    <col min="6403" max="6403" width="22.7109375" style="1547" customWidth="1"/>
    <col min="6404" max="6404" width="0" style="1547" hidden="1" customWidth="1"/>
    <col min="6405" max="6405" width="17.28515625" style="1547" customWidth="1"/>
    <col min="6406" max="6406" width="18.5703125" style="1547" customWidth="1"/>
    <col min="6407" max="6407" width="20" style="1547" customWidth="1"/>
    <col min="6408" max="6408" width="20.28515625" style="1547" customWidth="1"/>
    <col min="6409" max="6409" width="21.5703125" style="1547" customWidth="1"/>
    <col min="6410" max="6414" width="0" style="1547" hidden="1" customWidth="1"/>
    <col min="6415" max="6656" width="9.140625" style="1547"/>
    <col min="6657" max="6657" width="7.28515625" style="1547" customWidth="1"/>
    <col min="6658" max="6658" width="42.7109375" style="1547" customWidth="1"/>
    <col min="6659" max="6659" width="22.7109375" style="1547" customWidth="1"/>
    <col min="6660" max="6660" width="0" style="1547" hidden="1" customWidth="1"/>
    <col min="6661" max="6661" width="17.28515625" style="1547" customWidth="1"/>
    <col min="6662" max="6662" width="18.5703125" style="1547" customWidth="1"/>
    <col min="6663" max="6663" width="20" style="1547" customWidth="1"/>
    <col min="6664" max="6664" width="20.28515625" style="1547" customWidth="1"/>
    <col min="6665" max="6665" width="21.5703125" style="1547" customWidth="1"/>
    <col min="6666" max="6670" width="0" style="1547" hidden="1" customWidth="1"/>
    <col min="6671" max="6912" width="9.140625" style="1547"/>
    <col min="6913" max="6913" width="7.28515625" style="1547" customWidth="1"/>
    <col min="6914" max="6914" width="42.7109375" style="1547" customWidth="1"/>
    <col min="6915" max="6915" width="22.7109375" style="1547" customWidth="1"/>
    <col min="6916" max="6916" width="0" style="1547" hidden="1" customWidth="1"/>
    <col min="6917" max="6917" width="17.28515625" style="1547" customWidth="1"/>
    <col min="6918" max="6918" width="18.5703125" style="1547" customWidth="1"/>
    <col min="6919" max="6919" width="20" style="1547" customWidth="1"/>
    <col min="6920" max="6920" width="20.28515625" style="1547" customWidth="1"/>
    <col min="6921" max="6921" width="21.5703125" style="1547" customWidth="1"/>
    <col min="6922" max="6926" width="0" style="1547" hidden="1" customWidth="1"/>
    <col min="6927" max="7168" width="9.140625" style="1547"/>
    <col min="7169" max="7169" width="7.28515625" style="1547" customWidth="1"/>
    <col min="7170" max="7170" width="42.7109375" style="1547" customWidth="1"/>
    <col min="7171" max="7171" width="22.7109375" style="1547" customWidth="1"/>
    <col min="7172" max="7172" width="0" style="1547" hidden="1" customWidth="1"/>
    <col min="7173" max="7173" width="17.28515625" style="1547" customWidth="1"/>
    <col min="7174" max="7174" width="18.5703125" style="1547" customWidth="1"/>
    <col min="7175" max="7175" width="20" style="1547" customWidth="1"/>
    <col min="7176" max="7176" width="20.28515625" style="1547" customWidth="1"/>
    <col min="7177" max="7177" width="21.5703125" style="1547" customWidth="1"/>
    <col min="7178" max="7182" width="0" style="1547" hidden="1" customWidth="1"/>
    <col min="7183" max="7424" width="9.140625" style="1547"/>
    <col min="7425" max="7425" width="7.28515625" style="1547" customWidth="1"/>
    <col min="7426" max="7426" width="42.7109375" style="1547" customWidth="1"/>
    <col min="7427" max="7427" width="22.7109375" style="1547" customWidth="1"/>
    <col min="7428" max="7428" width="0" style="1547" hidden="1" customWidth="1"/>
    <col min="7429" max="7429" width="17.28515625" style="1547" customWidth="1"/>
    <col min="7430" max="7430" width="18.5703125" style="1547" customWidth="1"/>
    <col min="7431" max="7431" width="20" style="1547" customWidth="1"/>
    <col min="7432" max="7432" width="20.28515625" style="1547" customWidth="1"/>
    <col min="7433" max="7433" width="21.5703125" style="1547" customWidth="1"/>
    <col min="7434" max="7438" width="0" style="1547" hidden="1" customWidth="1"/>
    <col min="7439" max="7680" width="9.140625" style="1547"/>
    <col min="7681" max="7681" width="7.28515625" style="1547" customWidth="1"/>
    <col min="7682" max="7682" width="42.7109375" style="1547" customWidth="1"/>
    <col min="7683" max="7683" width="22.7109375" style="1547" customWidth="1"/>
    <col min="7684" max="7684" width="0" style="1547" hidden="1" customWidth="1"/>
    <col min="7685" max="7685" width="17.28515625" style="1547" customWidth="1"/>
    <col min="7686" max="7686" width="18.5703125" style="1547" customWidth="1"/>
    <col min="7687" max="7687" width="20" style="1547" customWidth="1"/>
    <col min="7688" max="7688" width="20.28515625" style="1547" customWidth="1"/>
    <col min="7689" max="7689" width="21.5703125" style="1547" customWidth="1"/>
    <col min="7690" max="7694" width="0" style="1547" hidden="1" customWidth="1"/>
    <col min="7695" max="7936" width="9.140625" style="1547"/>
    <col min="7937" max="7937" width="7.28515625" style="1547" customWidth="1"/>
    <col min="7938" max="7938" width="42.7109375" style="1547" customWidth="1"/>
    <col min="7939" max="7939" width="22.7109375" style="1547" customWidth="1"/>
    <col min="7940" max="7940" width="0" style="1547" hidden="1" customWidth="1"/>
    <col min="7941" max="7941" width="17.28515625" style="1547" customWidth="1"/>
    <col min="7942" max="7942" width="18.5703125" style="1547" customWidth="1"/>
    <col min="7943" max="7943" width="20" style="1547" customWidth="1"/>
    <col min="7944" max="7944" width="20.28515625" style="1547" customWidth="1"/>
    <col min="7945" max="7945" width="21.5703125" style="1547" customWidth="1"/>
    <col min="7946" max="7950" width="0" style="1547" hidden="1" customWidth="1"/>
    <col min="7951" max="8192" width="9.140625" style="1547"/>
    <col min="8193" max="8193" width="7.28515625" style="1547" customWidth="1"/>
    <col min="8194" max="8194" width="42.7109375" style="1547" customWidth="1"/>
    <col min="8195" max="8195" width="22.7109375" style="1547" customWidth="1"/>
    <col min="8196" max="8196" width="0" style="1547" hidden="1" customWidth="1"/>
    <col min="8197" max="8197" width="17.28515625" style="1547" customWidth="1"/>
    <col min="8198" max="8198" width="18.5703125" style="1547" customWidth="1"/>
    <col min="8199" max="8199" width="20" style="1547" customWidth="1"/>
    <col min="8200" max="8200" width="20.28515625" style="1547" customWidth="1"/>
    <col min="8201" max="8201" width="21.5703125" style="1547" customWidth="1"/>
    <col min="8202" max="8206" width="0" style="1547" hidden="1" customWidth="1"/>
    <col min="8207" max="8448" width="9.140625" style="1547"/>
    <col min="8449" max="8449" width="7.28515625" style="1547" customWidth="1"/>
    <col min="8450" max="8450" width="42.7109375" style="1547" customWidth="1"/>
    <col min="8451" max="8451" width="22.7109375" style="1547" customWidth="1"/>
    <col min="8452" max="8452" width="0" style="1547" hidden="1" customWidth="1"/>
    <col min="8453" max="8453" width="17.28515625" style="1547" customWidth="1"/>
    <col min="8454" max="8454" width="18.5703125" style="1547" customWidth="1"/>
    <col min="8455" max="8455" width="20" style="1547" customWidth="1"/>
    <col min="8456" max="8456" width="20.28515625" style="1547" customWidth="1"/>
    <col min="8457" max="8457" width="21.5703125" style="1547" customWidth="1"/>
    <col min="8458" max="8462" width="0" style="1547" hidden="1" customWidth="1"/>
    <col min="8463" max="8704" width="9.140625" style="1547"/>
    <col min="8705" max="8705" width="7.28515625" style="1547" customWidth="1"/>
    <col min="8706" max="8706" width="42.7109375" style="1547" customWidth="1"/>
    <col min="8707" max="8707" width="22.7109375" style="1547" customWidth="1"/>
    <col min="8708" max="8708" width="0" style="1547" hidden="1" customWidth="1"/>
    <col min="8709" max="8709" width="17.28515625" style="1547" customWidth="1"/>
    <col min="8710" max="8710" width="18.5703125" style="1547" customWidth="1"/>
    <col min="8711" max="8711" width="20" style="1547" customWidth="1"/>
    <col min="8712" max="8712" width="20.28515625" style="1547" customWidth="1"/>
    <col min="8713" max="8713" width="21.5703125" style="1547" customWidth="1"/>
    <col min="8714" max="8718" width="0" style="1547" hidden="1" customWidth="1"/>
    <col min="8719" max="8960" width="9.140625" style="1547"/>
    <col min="8961" max="8961" width="7.28515625" style="1547" customWidth="1"/>
    <col min="8962" max="8962" width="42.7109375" style="1547" customWidth="1"/>
    <col min="8963" max="8963" width="22.7109375" style="1547" customWidth="1"/>
    <col min="8964" max="8964" width="0" style="1547" hidden="1" customWidth="1"/>
    <col min="8965" max="8965" width="17.28515625" style="1547" customWidth="1"/>
    <col min="8966" max="8966" width="18.5703125" style="1547" customWidth="1"/>
    <col min="8967" max="8967" width="20" style="1547" customWidth="1"/>
    <col min="8968" max="8968" width="20.28515625" style="1547" customWidth="1"/>
    <col min="8969" max="8969" width="21.5703125" style="1547" customWidth="1"/>
    <col min="8970" max="8974" width="0" style="1547" hidden="1" customWidth="1"/>
    <col min="8975" max="9216" width="9.140625" style="1547"/>
    <col min="9217" max="9217" width="7.28515625" style="1547" customWidth="1"/>
    <col min="9218" max="9218" width="42.7109375" style="1547" customWidth="1"/>
    <col min="9219" max="9219" width="22.7109375" style="1547" customWidth="1"/>
    <col min="9220" max="9220" width="0" style="1547" hidden="1" customWidth="1"/>
    <col min="9221" max="9221" width="17.28515625" style="1547" customWidth="1"/>
    <col min="9222" max="9222" width="18.5703125" style="1547" customWidth="1"/>
    <col min="9223" max="9223" width="20" style="1547" customWidth="1"/>
    <col min="9224" max="9224" width="20.28515625" style="1547" customWidth="1"/>
    <col min="9225" max="9225" width="21.5703125" style="1547" customWidth="1"/>
    <col min="9226" max="9230" width="0" style="1547" hidden="1" customWidth="1"/>
    <col min="9231" max="9472" width="9.140625" style="1547"/>
    <col min="9473" max="9473" width="7.28515625" style="1547" customWidth="1"/>
    <col min="9474" max="9474" width="42.7109375" style="1547" customWidth="1"/>
    <col min="9475" max="9475" width="22.7109375" style="1547" customWidth="1"/>
    <col min="9476" max="9476" width="0" style="1547" hidden="1" customWidth="1"/>
    <col min="9477" max="9477" width="17.28515625" style="1547" customWidth="1"/>
    <col min="9478" max="9478" width="18.5703125" style="1547" customWidth="1"/>
    <col min="9479" max="9479" width="20" style="1547" customWidth="1"/>
    <col min="9480" max="9480" width="20.28515625" style="1547" customWidth="1"/>
    <col min="9481" max="9481" width="21.5703125" style="1547" customWidth="1"/>
    <col min="9482" max="9486" width="0" style="1547" hidden="1" customWidth="1"/>
    <col min="9487" max="9728" width="9.140625" style="1547"/>
    <col min="9729" max="9729" width="7.28515625" style="1547" customWidth="1"/>
    <col min="9730" max="9730" width="42.7109375" style="1547" customWidth="1"/>
    <col min="9731" max="9731" width="22.7109375" style="1547" customWidth="1"/>
    <col min="9732" max="9732" width="0" style="1547" hidden="1" customWidth="1"/>
    <col min="9733" max="9733" width="17.28515625" style="1547" customWidth="1"/>
    <col min="9734" max="9734" width="18.5703125" style="1547" customWidth="1"/>
    <col min="9735" max="9735" width="20" style="1547" customWidth="1"/>
    <col min="9736" max="9736" width="20.28515625" style="1547" customWidth="1"/>
    <col min="9737" max="9737" width="21.5703125" style="1547" customWidth="1"/>
    <col min="9738" max="9742" width="0" style="1547" hidden="1" customWidth="1"/>
    <col min="9743" max="9984" width="9.140625" style="1547"/>
    <col min="9985" max="9985" width="7.28515625" style="1547" customWidth="1"/>
    <col min="9986" max="9986" width="42.7109375" style="1547" customWidth="1"/>
    <col min="9987" max="9987" width="22.7109375" style="1547" customWidth="1"/>
    <col min="9988" max="9988" width="0" style="1547" hidden="1" customWidth="1"/>
    <col min="9989" max="9989" width="17.28515625" style="1547" customWidth="1"/>
    <col min="9990" max="9990" width="18.5703125" style="1547" customWidth="1"/>
    <col min="9991" max="9991" width="20" style="1547" customWidth="1"/>
    <col min="9992" max="9992" width="20.28515625" style="1547" customWidth="1"/>
    <col min="9993" max="9993" width="21.5703125" style="1547" customWidth="1"/>
    <col min="9994" max="9998" width="0" style="1547" hidden="1" customWidth="1"/>
    <col min="9999" max="10240" width="9.140625" style="1547"/>
    <col min="10241" max="10241" width="7.28515625" style="1547" customWidth="1"/>
    <col min="10242" max="10242" width="42.7109375" style="1547" customWidth="1"/>
    <col min="10243" max="10243" width="22.7109375" style="1547" customWidth="1"/>
    <col min="10244" max="10244" width="0" style="1547" hidden="1" customWidth="1"/>
    <col min="10245" max="10245" width="17.28515625" style="1547" customWidth="1"/>
    <col min="10246" max="10246" width="18.5703125" style="1547" customWidth="1"/>
    <col min="10247" max="10247" width="20" style="1547" customWidth="1"/>
    <col min="10248" max="10248" width="20.28515625" style="1547" customWidth="1"/>
    <col min="10249" max="10249" width="21.5703125" style="1547" customWidth="1"/>
    <col min="10250" max="10254" width="0" style="1547" hidden="1" customWidth="1"/>
    <col min="10255" max="10496" width="9.140625" style="1547"/>
    <col min="10497" max="10497" width="7.28515625" style="1547" customWidth="1"/>
    <col min="10498" max="10498" width="42.7109375" style="1547" customWidth="1"/>
    <col min="10499" max="10499" width="22.7109375" style="1547" customWidth="1"/>
    <col min="10500" max="10500" width="0" style="1547" hidden="1" customWidth="1"/>
    <col min="10501" max="10501" width="17.28515625" style="1547" customWidth="1"/>
    <col min="10502" max="10502" width="18.5703125" style="1547" customWidth="1"/>
    <col min="10503" max="10503" width="20" style="1547" customWidth="1"/>
    <col min="10504" max="10504" width="20.28515625" style="1547" customWidth="1"/>
    <col min="10505" max="10505" width="21.5703125" style="1547" customWidth="1"/>
    <col min="10506" max="10510" width="0" style="1547" hidden="1" customWidth="1"/>
    <col min="10511" max="10752" width="9.140625" style="1547"/>
    <col min="10753" max="10753" width="7.28515625" style="1547" customWidth="1"/>
    <col min="10754" max="10754" width="42.7109375" style="1547" customWidth="1"/>
    <col min="10755" max="10755" width="22.7109375" style="1547" customWidth="1"/>
    <col min="10756" max="10756" width="0" style="1547" hidden="1" customWidth="1"/>
    <col min="10757" max="10757" width="17.28515625" style="1547" customWidth="1"/>
    <col min="10758" max="10758" width="18.5703125" style="1547" customWidth="1"/>
    <col min="10759" max="10759" width="20" style="1547" customWidth="1"/>
    <col min="10760" max="10760" width="20.28515625" style="1547" customWidth="1"/>
    <col min="10761" max="10761" width="21.5703125" style="1547" customWidth="1"/>
    <col min="10762" max="10766" width="0" style="1547" hidden="1" customWidth="1"/>
    <col min="10767" max="11008" width="9.140625" style="1547"/>
    <col min="11009" max="11009" width="7.28515625" style="1547" customWidth="1"/>
    <col min="11010" max="11010" width="42.7109375" style="1547" customWidth="1"/>
    <col min="11011" max="11011" width="22.7109375" style="1547" customWidth="1"/>
    <col min="11012" max="11012" width="0" style="1547" hidden="1" customWidth="1"/>
    <col min="11013" max="11013" width="17.28515625" style="1547" customWidth="1"/>
    <col min="11014" max="11014" width="18.5703125" style="1547" customWidth="1"/>
    <col min="11015" max="11015" width="20" style="1547" customWidth="1"/>
    <col min="11016" max="11016" width="20.28515625" style="1547" customWidth="1"/>
    <col min="11017" max="11017" width="21.5703125" style="1547" customWidth="1"/>
    <col min="11018" max="11022" width="0" style="1547" hidden="1" customWidth="1"/>
    <col min="11023" max="11264" width="9.140625" style="1547"/>
    <col min="11265" max="11265" width="7.28515625" style="1547" customWidth="1"/>
    <col min="11266" max="11266" width="42.7109375" style="1547" customWidth="1"/>
    <col min="11267" max="11267" width="22.7109375" style="1547" customWidth="1"/>
    <col min="11268" max="11268" width="0" style="1547" hidden="1" customWidth="1"/>
    <col min="11269" max="11269" width="17.28515625" style="1547" customWidth="1"/>
    <col min="11270" max="11270" width="18.5703125" style="1547" customWidth="1"/>
    <col min="11271" max="11271" width="20" style="1547" customWidth="1"/>
    <col min="11272" max="11272" width="20.28515625" style="1547" customWidth="1"/>
    <col min="11273" max="11273" width="21.5703125" style="1547" customWidth="1"/>
    <col min="11274" max="11278" width="0" style="1547" hidden="1" customWidth="1"/>
    <col min="11279" max="11520" width="9.140625" style="1547"/>
    <col min="11521" max="11521" width="7.28515625" style="1547" customWidth="1"/>
    <col min="11522" max="11522" width="42.7109375" style="1547" customWidth="1"/>
    <col min="11523" max="11523" width="22.7109375" style="1547" customWidth="1"/>
    <col min="11524" max="11524" width="0" style="1547" hidden="1" customWidth="1"/>
    <col min="11525" max="11525" width="17.28515625" style="1547" customWidth="1"/>
    <col min="11526" max="11526" width="18.5703125" style="1547" customWidth="1"/>
    <col min="11527" max="11527" width="20" style="1547" customWidth="1"/>
    <col min="11528" max="11528" width="20.28515625" style="1547" customWidth="1"/>
    <col min="11529" max="11529" width="21.5703125" style="1547" customWidth="1"/>
    <col min="11530" max="11534" width="0" style="1547" hidden="1" customWidth="1"/>
    <col min="11535" max="11776" width="9.140625" style="1547"/>
    <col min="11777" max="11777" width="7.28515625" style="1547" customWidth="1"/>
    <col min="11778" max="11778" width="42.7109375" style="1547" customWidth="1"/>
    <col min="11779" max="11779" width="22.7109375" style="1547" customWidth="1"/>
    <col min="11780" max="11780" width="0" style="1547" hidden="1" customWidth="1"/>
    <col min="11781" max="11781" width="17.28515625" style="1547" customWidth="1"/>
    <col min="11782" max="11782" width="18.5703125" style="1547" customWidth="1"/>
    <col min="11783" max="11783" width="20" style="1547" customWidth="1"/>
    <col min="11784" max="11784" width="20.28515625" style="1547" customWidth="1"/>
    <col min="11785" max="11785" width="21.5703125" style="1547" customWidth="1"/>
    <col min="11786" max="11790" width="0" style="1547" hidden="1" customWidth="1"/>
    <col min="11791" max="12032" width="9.140625" style="1547"/>
    <col min="12033" max="12033" width="7.28515625" style="1547" customWidth="1"/>
    <col min="12034" max="12034" width="42.7109375" style="1547" customWidth="1"/>
    <col min="12035" max="12035" width="22.7109375" style="1547" customWidth="1"/>
    <col min="12036" max="12036" width="0" style="1547" hidden="1" customWidth="1"/>
    <col min="12037" max="12037" width="17.28515625" style="1547" customWidth="1"/>
    <col min="12038" max="12038" width="18.5703125" style="1547" customWidth="1"/>
    <col min="12039" max="12039" width="20" style="1547" customWidth="1"/>
    <col min="12040" max="12040" width="20.28515625" style="1547" customWidth="1"/>
    <col min="12041" max="12041" width="21.5703125" style="1547" customWidth="1"/>
    <col min="12042" max="12046" width="0" style="1547" hidden="1" customWidth="1"/>
    <col min="12047" max="12288" width="9.140625" style="1547"/>
    <col min="12289" max="12289" width="7.28515625" style="1547" customWidth="1"/>
    <col min="12290" max="12290" width="42.7109375" style="1547" customWidth="1"/>
    <col min="12291" max="12291" width="22.7109375" style="1547" customWidth="1"/>
    <col min="12292" max="12292" width="0" style="1547" hidden="1" customWidth="1"/>
    <col min="12293" max="12293" width="17.28515625" style="1547" customWidth="1"/>
    <col min="12294" max="12294" width="18.5703125" style="1547" customWidth="1"/>
    <col min="12295" max="12295" width="20" style="1547" customWidth="1"/>
    <col min="12296" max="12296" width="20.28515625" style="1547" customWidth="1"/>
    <col min="12297" max="12297" width="21.5703125" style="1547" customWidth="1"/>
    <col min="12298" max="12302" width="0" style="1547" hidden="1" customWidth="1"/>
    <col min="12303" max="12544" width="9.140625" style="1547"/>
    <col min="12545" max="12545" width="7.28515625" style="1547" customWidth="1"/>
    <col min="12546" max="12546" width="42.7109375" style="1547" customWidth="1"/>
    <col min="12547" max="12547" width="22.7109375" style="1547" customWidth="1"/>
    <col min="12548" max="12548" width="0" style="1547" hidden="1" customWidth="1"/>
    <col min="12549" max="12549" width="17.28515625" style="1547" customWidth="1"/>
    <col min="12550" max="12550" width="18.5703125" style="1547" customWidth="1"/>
    <col min="12551" max="12551" width="20" style="1547" customWidth="1"/>
    <col min="12552" max="12552" width="20.28515625" style="1547" customWidth="1"/>
    <col min="12553" max="12553" width="21.5703125" style="1547" customWidth="1"/>
    <col min="12554" max="12558" width="0" style="1547" hidden="1" customWidth="1"/>
    <col min="12559" max="12800" width="9.140625" style="1547"/>
    <col min="12801" max="12801" width="7.28515625" style="1547" customWidth="1"/>
    <col min="12802" max="12802" width="42.7109375" style="1547" customWidth="1"/>
    <col min="12803" max="12803" width="22.7109375" style="1547" customWidth="1"/>
    <col min="12804" max="12804" width="0" style="1547" hidden="1" customWidth="1"/>
    <col min="12805" max="12805" width="17.28515625" style="1547" customWidth="1"/>
    <col min="12806" max="12806" width="18.5703125" style="1547" customWidth="1"/>
    <col min="12807" max="12807" width="20" style="1547" customWidth="1"/>
    <col min="12808" max="12808" width="20.28515625" style="1547" customWidth="1"/>
    <col min="12809" max="12809" width="21.5703125" style="1547" customWidth="1"/>
    <col min="12810" max="12814" width="0" style="1547" hidden="1" customWidth="1"/>
    <col min="12815" max="13056" width="9.140625" style="1547"/>
    <col min="13057" max="13057" width="7.28515625" style="1547" customWidth="1"/>
    <col min="13058" max="13058" width="42.7109375" style="1547" customWidth="1"/>
    <col min="13059" max="13059" width="22.7109375" style="1547" customWidth="1"/>
    <col min="13060" max="13060" width="0" style="1547" hidden="1" customWidth="1"/>
    <col min="13061" max="13061" width="17.28515625" style="1547" customWidth="1"/>
    <col min="13062" max="13062" width="18.5703125" style="1547" customWidth="1"/>
    <col min="13063" max="13063" width="20" style="1547" customWidth="1"/>
    <col min="13064" max="13064" width="20.28515625" style="1547" customWidth="1"/>
    <col min="13065" max="13065" width="21.5703125" style="1547" customWidth="1"/>
    <col min="13066" max="13070" width="0" style="1547" hidden="1" customWidth="1"/>
    <col min="13071" max="13312" width="9.140625" style="1547"/>
    <col min="13313" max="13313" width="7.28515625" style="1547" customWidth="1"/>
    <col min="13314" max="13314" width="42.7109375" style="1547" customWidth="1"/>
    <col min="13315" max="13315" width="22.7109375" style="1547" customWidth="1"/>
    <col min="13316" max="13316" width="0" style="1547" hidden="1" customWidth="1"/>
    <col min="13317" max="13317" width="17.28515625" style="1547" customWidth="1"/>
    <col min="13318" max="13318" width="18.5703125" style="1547" customWidth="1"/>
    <col min="13319" max="13319" width="20" style="1547" customWidth="1"/>
    <col min="13320" max="13320" width="20.28515625" style="1547" customWidth="1"/>
    <col min="13321" max="13321" width="21.5703125" style="1547" customWidth="1"/>
    <col min="13322" max="13326" width="0" style="1547" hidden="1" customWidth="1"/>
    <col min="13327" max="13568" width="9.140625" style="1547"/>
    <col min="13569" max="13569" width="7.28515625" style="1547" customWidth="1"/>
    <col min="13570" max="13570" width="42.7109375" style="1547" customWidth="1"/>
    <col min="13571" max="13571" width="22.7109375" style="1547" customWidth="1"/>
    <col min="13572" max="13572" width="0" style="1547" hidden="1" customWidth="1"/>
    <col min="13573" max="13573" width="17.28515625" style="1547" customWidth="1"/>
    <col min="13574" max="13574" width="18.5703125" style="1547" customWidth="1"/>
    <col min="13575" max="13575" width="20" style="1547" customWidth="1"/>
    <col min="13576" max="13576" width="20.28515625" style="1547" customWidth="1"/>
    <col min="13577" max="13577" width="21.5703125" style="1547" customWidth="1"/>
    <col min="13578" max="13582" width="0" style="1547" hidden="1" customWidth="1"/>
    <col min="13583" max="13824" width="9.140625" style="1547"/>
    <col min="13825" max="13825" width="7.28515625" style="1547" customWidth="1"/>
    <col min="13826" max="13826" width="42.7109375" style="1547" customWidth="1"/>
    <col min="13827" max="13827" width="22.7109375" style="1547" customWidth="1"/>
    <col min="13828" max="13828" width="0" style="1547" hidden="1" customWidth="1"/>
    <col min="13829" max="13829" width="17.28515625" style="1547" customWidth="1"/>
    <col min="13830" max="13830" width="18.5703125" style="1547" customWidth="1"/>
    <col min="13831" max="13831" width="20" style="1547" customWidth="1"/>
    <col min="13832" max="13832" width="20.28515625" style="1547" customWidth="1"/>
    <col min="13833" max="13833" width="21.5703125" style="1547" customWidth="1"/>
    <col min="13834" max="13838" width="0" style="1547" hidden="1" customWidth="1"/>
    <col min="13839" max="14080" width="9.140625" style="1547"/>
    <col min="14081" max="14081" width="7.28515625" style="1547" customWidth="1"/>
    <col min="14082" max="14082" width="42.7109375" style="1547" customWidth="1"/>
    <col min="14083" max="14083" width="22.7109375" style="1547" customWidth="1"/>
    <col min="14084" max="14084" width="0" style="1547" hidden="1" customWidth="1"/>
    <col min="14085" max="14085" width="17.28515625" style="1547" customWidth="1"/>
    <col min="14086" max="14086" width="18.5703125" style="1547" customWidth="1"/>
    <col min="14087" max="14087" width="20" style="1547" customWidth="1"/>
    <col min="14088" max="14088" width="20.28515625" style="1547" customWidth="1"/>
    <col min="14089" max="14089" width="21.5703125" style="1547" customWidth="1"/>
    <col min="14090" max="14094" width="0" style="1547" hidden="1" customWidth="1"/>
    <col min="14095" max="14336" width="9.140625" style="1547"/>
    <col min="14337" max="14337" width="7.28515625" style="1547" customWidth="1"/>
    <col min="14338" max="14338" width="42.7109375" style="1547" customWidth="1"/>
    <col min="14339" max="14339" width="22.7109375" style="1547" customWidth="1"/>
    <col min="14340" max="14340" width="0" style="1547" hidden="1" customWidth="1"/>
    <col min="14341" max="14341" width="17.28515625" style="1547" customWidth="1"/>
    <col min="14342" max="14342" width="18.5703125" style="1547" customWidth="1"/>
    <col min="14343" max="14343" width="20" style="1547" customWidth="1"/>
    <col min="14344" max="14344" width="20.28515625" style="1547" customWidth="1"/>
    <col min="14345" max="14345" width="21.5703125" style="1547" customWidth="1"/>
    <col min="14346" max="14350" width="0" style="1547" hidden="1" customWidth="1"/>
    <col min="14351" max="14592" width="9.140625" style="1547"/>
    <col min="14593" max="14593" width="7.28515625" style="1547" customWidth="1"/>
    <col min="14594" max="14594" width="42.7109375" style="1547" customWidth="1"/>
    <col min="14595" max="14595" width="22.7109375" style="1547" customWidth="1"/>
    <col min="14596" max="14596" width="0" style="1547" hidden="1" customWidth="1"/>
    <col min="14597" max="14597" width="17.28515625" style="1547" customWidth="1"/>
    <col min="14598" max="14598" width="18.5703125" style="1547" customWidth="1"/>
    <col min="14599" max="14599" width="20" style="1547" customWidth="1"/>
    <col min="14600" max="14600" width="20.28515625" style="1547" customWidth="1"/>
    <col min="14601" max="14601" width="21.5703125" style="1547" customWidth="1"/>
    <col min="14602" max="14606" width="0" style="1547" hidden="1" customWidth="1"/>
    <col min="14607" max="14848" width="9.140625" style="1547"/>
    <col min="14849" max="14849" width="7.28515625" style="1547" customWidth="1"/>
    <col min="14850" max="14850" width="42.7109375" style="1547" customWidth="1"/>
    <col min="14851" max="14851" width="22.7109375" style="1547" customWidth="1"/>
    <col min="14852" max="14852" width="0" style="1547" hidden="1" customWidth="1"/>
    <col min="14853" max="14853" width="17.28515625" style="1547" customWidth="1"/>
    <col min="14854" max="14854" width="18.5703125" style="1547" customWidth="1"/>
    <col min="14855" max="14855" width="20" style="1547" customWidth="1"/>
    <col min="14856" max="14856" width="20.28515625" style="1547" customWidth="1"/>
    <col min="14857" max="14857" width="21.5703125" style="1547" customWidth="1"/>
    <col min="14858" max="14862" width="0" style="1547" hidden="1" customWidth="1"/>
    <col min="14863" max="15104" width="9.140625" style="1547"/>
    <col min="15105" max="15105" width="7.28515625" style="1547" customWidth="1"/>
    <col min="15106" max="15106" width="42.7109375" style="1547" customWidth="1"/>
    <col min="15107" max="15107" width="22.7109375" style="1547" customWidth="1"/>
    <col min="15108" max="15108" width="0" style="1547" hidden="1" customWidth="1"/>
    <col min="15109" max="15109" width="17.28515625" style="1547" customWidth="1"/>
    <col min="15110" max="15110" width="18.5703125" style="1547" customWidth="1"/>
    <col min="15111" max="15111" width="20" style="1547" customWidth="1"/>
    <col min="15112" max="15112" width="20.28515625" style="1547" customWidth="1"/>
    <col min="15113" max="15113" width="21.5703125" style="1547" customWidth="1"/>
    <col min="15114" max="15118" width="0" style="1547" hidden="1" customWidth="1"/>
    <col min="15119" max="15360" width="9.140625" style="1547"/>
    <col min="15361" max="15361" width="7.28515625" style="1547" customWidth="1"/>
    <col min="15362" max="15362" width="42.7109375" style="1547" customWidth="1"/>
    <col min="15363" max="15363" width="22.7109375" style="1547" customWidth="1"/>
    <col min="15364" max="15364" width="0" style="1547" hidden="1" customWidth="1"/>
    <col min="15365" max="15365" width="17.28515625" style="1547" customWidth="1"/>
    <col min="15366" max="15366" width="18.5703125" style="1547" customWidth="1"/>
    <col min="15367" max="15367" width="20" style="1547" customWidth="1"/>
    <col min="15368" max="15368" width="20.28515625" style="1547" customWidth="1"/>
    <col min="15369" max="15369" width="21.5703125" style="1547" customWidth="1"/>
    <col min="15370" max="15374" width="0" style="1547" hidden="1" customWidth="1"/>
    <col min="15375" max="15616" width="9.140625" style="1547"/>
    <col min="15617" max="15617" width="7.28515625" style="1547" customWidth="1"/>
    <col min="15618" max="15618" width="42.7109375" style="1547" customWidth="1"/>
    <col min="15619" max="15619" width="22.7109375" style="1547" customWidth="1"/>
    <col min="15620" max="15620" width="0" style="1547" hidden="1" customWidth="1"/>
    <col min="15621" max="15621" width="17.28515625" style="1547" customWidth="1"/>
    <col min="15622" max="15622" width="18.5703125" style="1547" customWidth="1"/>
    <col min="15623" max="15623" width="20" style="1547" customWidth="1"/>
    <col min="15624" max="15624" width="20.28515625" style="1547" customWidth="1"/>
    <col min="15625" max="15625" width="21.5703125" style="1547" customWidth="1"/>
    <col min="15626" max="15630" width="0" style="1547" hidden="1" customWidth="1"/>
    <col min="15631" max="15872" width="9.140625" style="1547"/>
    <col min="15873" max="15873" width="7.28515625" style="1547" customWidth="1"/>
    <col min="15874" max="15874" width="42.7109375" style="1547" customWidth="1"/>
    <col min="15875" max="15875" width="22.7109375" style="1547" customWidth="1"/>
    <col min="15876" max="15876" width="0" style="1547" hidden="1" customWidth="1"/>
    <col min="15877" max="15877" width="17.28515625" style="1547" customWidth="1"/>
    <col min="15878" max="15878" width="18.5703125" style="1547" customWidth="1"/>
    <col min="15879" max="15879" width="20" style="1547" customWidth="1"/>
    <col min="15880" max="15880" width="20.28515625" style="1547" customWidth="1"/>
    <col min="15881" max="15881" width="21.5703125" style="1547" customWidth="1"/>
    <col min="15882" max="15886" width="0" style="1547" hidden="1" customWidth="1"/>
    <col min="15887" max="16128" width="9.140625" style="1547"/>
    <col min="16129" max="16129" width="7.28515625" style="1547" customWidth="1"/>
    <col min="16130" max="16130" width="42.7109375" style="1547" customWidth="1"/>
    <col min="16131" max="16131" width="22.7109375" style="1547" customWidth="1"/>
    <col min="16132" max="16132" width="0" style="1547" hidden="1" customWidth="1"/>
    <col min="16133" max="16133" width="17.28515625" style="1547" customWidth="1"/>
    <col min="16134" max="16134" width="18.5703125" style="1547" customWidth="1"/>
    <col min="16135" max="16135" width="20" style="1547" customWidth="1"/>
    <col min="16136" max="16136" width="20.28515625" style="1547" customWidth="1"/>
    <col min="16137" max="16137" width="21.5703125" style="1547" customWidth="1"/>
    <col min="16138" max="16142" width="0" style="1547" hidden="1" customWidth="1"/>
    <col min="16143" max="16384" width="9.140625" style="1547"/>
  </cols>
  <sheetData>
    <row r="1" spans="1:14">
      <c r="I1" s="1548"/>
      <c r="J1" s="1548"/>
    </row>
    <row r="2" spans="1:14" ht="57.75" customHeight="1">
      <c r="A2" s="1951" t="s">
        <v>896</v>
      </c>
      <c r="B2" s="1951"/>
      <c r="C2" s="1951"/>
      <c r="D2" s="1951"/>
      <c r="E2" s="1951"/>
      <c r="F2" s="1951"/>
      <c r="G2" s="1951"/>
      <c r="H2" s="1951"/>
      <c r="I2" s="1951"/>
      <c r="J2" s="1549"/>
      <c r="K2" s="1549"/>
      <c r="L2" s="1549"/>
      <c r="M2" s="1549"/>
    </row>
    <row r="3" spans="1:14">
      <c r="A3" s="1952"/>
      <c r="B3" s="1952"/>
      <c r="C3" s="1952"/>
      <c r="D3" s="1952"/>
      <c r="E3" s="1952"/>
      <c r="F3" s="1952"/>
      <c r="G3" s="1952"/>
      <c r="H3" s="1952"/>
      <c r="I3" s="1952"/>
      <c r="J3" s="1550"/>
    </row>
    <row r="4" spans="1:14" ht="24" customHeight="1">
      <c r="A4" s="1551"/>
      <c r="B4" s="1552"/>
      <c r="C4" s="1553"/>
      <c r="D4" s="1553"/>
      <c r="E4" s="1554"/>
      <c r="F4" s="1555"/>
      <c r="G4" s="1556"/>
      <c r="H4" s="1557"/>
      <c r="I4" s="1558" t="s">
        <v>746</v>
      </c>
      <c r="J4" s="1558"/>
      <c r="L4" s="1559"/>
    </row>
    <row r="5" spans="1:14">
      <c r="A5" s="1953" t="s">
        <v>309</v>
      </c>
      <c r="B5" s="1953" t="s">
        <v>897</v>
      </c>
      <c r="C5" s="1954" t="s">
        <v>898</v>
      </c>
      <c r="D5" s="1954" t="s">
        <v>899</v>
      </c>
      <c r="E5" s="1944" t="s">
        <v>900</v>
      </c>
      <c r="F5" s="1944"/>
      <c r="G5" s="1944"/>
      <c r="H5" s="1944"/>
      <c r="I5" s="1944"/>
      <c r="J5" s="1944" t="s">
        <v>901</v>
      </c>
      <c r="K5" s="1945" t="s">
        <v>902</v>
      </c>
      <c r="L5" s="1947" t="s">
        <v>5</v>
      </c>
      <c r="M5" s="1948" t="s">
        <v>870</v>
      </c>
    </row>
    <row r="6" spans="1:14" ht="72.75" customHeight="1">
      <c r="A6" s="1954"/>
      <c r="B6" s="1954"/>
      <c r="C6" s="1955"/>
      <c r="D6" s="1955"/>
      <c r="E6" s="1560" t="s">
        <v>903</v>
      </c>
      <c r="F6" s="1560" t="s">
        <v>904</v>
      </c>
      <c r="G6" s="1560" t="s">
        <v>905</v>
      </c>
      <c r="H6" s="1561" t="s">
        <v>906</v>
      </c>
      <c r="I6" s="1560" t="s">
        <v>907</v>
      </c>
      <c r="J6" s="1944"/>
      <c r="K6" s="1946"/>
      <c r="L6" s="1947"/>
      <c r="M6" s="1948"/>
    </row>
    <row r="7" spans="1:14" ht="44.25" customHeight="1">
      <c r="A7" s="1562" t="s">
        <v>768</v>
      </c>
      <c r="B7" s="1562" t="s">
        <v>754</v>
      </c>
      <c r="C7" s="1562"/>
      <c r="D7" s="1562"/>
      <c r="E7" s="1562"/>
      <c r="F7" s="1562"/>
      <c r="G7" s="1563">
        <f t="shared" ref="G7:L7" si="0">G8+G11+G14+G17+G19+G24</f>
        <v>2440951000</v>
      </c>
      <c r="H7" s="1563">
        <f t="shared" si="0"/>
        <v>5891042000</v>
      </c>
      <c r="I7" s="1563">
        <f t="shared" si="0"/>
        <v>8331993000</v>
      </c>
      <c r="J7" s="1563">
        <f t="shared" si="0"/>
        <v>2070993000</v>
      </c>
      <c r="K7" s="1563">
        <f t="shared" si="0"/>
        <v>6261000000</v>
      </c>
      <c r="L7" s="1563">
        <f t="shared" si="0"/>
        <v>8331993000</v>
      </c>
      <c r="M7" s="1564"/>
    </row>
    <row r="8" spans="1:14" ht="23.25" customHeight="1">
      <c r="A8" s="1565">
        <v>1</v>
      </c>
      <c r="B8" s="1566" t="s">
        <v>908</v>
      </c>
      <c r="C8" s="1562"/>
      <c r="D8" s="1562"/>
      <c r="E8" s="1565"/>
      <c r="F8" s="1567"/>
      <c r="G8" s="1567"/>
      <c r="H8" s="1567">
        <f>H9+H10</f>
        <v>3430952000</v>
      </c>
      <c r="I8" s="1567">
        <f>I9+I10</f>
        <v>3430952000</v>
      </c>
      <c r="J8" s="1567">
        <f>J9+J10</f>
        <v>1113993000</v>
      </c>
      <c r="K8" s="1567">
        <f>K9+K10</f>
        <v>2316959000</v>
      </c>
      <c r="L8" s="1568">
        <f>J8+K8</f>
        <v>3430952000</v>
      </c>
      <c r="M8" s="1564"/>
      <c r="N8" s="1559">
        <f>I8-L8</f>
        <v>0</v>
      </c>
    </row>
    <row r="9" spans="1:14" ht="44.25" customHeight="1">
      <c r="A9" s="1569"/>
      <c r="B9" s="1570" t="s">
        <v>909</v>
      </c>
      <c r="C9" s="1571"/>
      <c r="D9" s="1571"/>
      <c r="E9" s="1569"/>
      <c r="F9" s="1572"/>
      <c r="G9" s="1572">
        <f>E9*F9</f>
        <v>0</v>
      </c>
      <c r="H9" s="1573">
        <f>K9</f>
        <v>2316959000</v>
      </c>
      <c r="I9" s="1572">
        <f>G9+H9</f>
        <v>2316959000</v>
      </c>
      <c r="J9" s="1572"/>
      <c r="K9" s="1568">
        <f>6261000000-3944041000</f>
        <v>2316959000</v>
      </c>
      <c r="L9" s="1568">
        <f t="shared" ref="L9:L18" si="1">J9+K9</f>
        <v>2316959000</v>
      </c>
      <c r="M9" s="1564"/>
      <c r="N9" s="1559">
        <f t="shared" ref="N9:N72" si="2">I9-L9</f>
        <v>0</v>
      </c>
    </row>
    <row r="10" spans="1:14" ht="78" customHeight="1">
      <c r="A10" s="1569"/>
      <c r="B10" s="1574" t="s">
        <v>910</v>
      </c>
      <c r="C10" s="1571"/>
      <c r="D10" s="1571"/>
      <c r="E10" s="1569"/>
      <c r="F10" s="1572"/>
      <c r="G10" s="1572"/>
      <c r="H10" s="1573">
        <v>1113993000</v>
      </c>
      <c r="I10" s="1572">
        <f>G10+H10</f>
        <v>1113993000</v>
      </c>
      <c r="J10" s="1572">
        <f>I10</f>
        <v>1113993000</v>
      </c>
      <c r="K10" s="1575"/>
      <c r="L10" s="1568">
        <f t="shared" si="1"/>
        <v>1113993000</v>
      </c>
      <c r="M10" s="1564" t="s">
        <v>911</v>
      </c>
      <c r="N10" s="1559">
        <f t="shared" si="2"/>
        <v>0</v>
      </c>
    </row>
    <row r="11" spans="1:14" ht="31.5">
      <c r="A11" s="1565">
        <v>2</v>
      </c>
      <c r="B11" s="1566" t="s">
        <v>883</v>
      </c>
      <c r="C11" s="1562"/>
      <c r="D11" s="1562"/>
      <c r="E11" s="1565"/>
      <c r="F11" s="1567"/>
      <c r="G11" s="1567">
        <f t="shared" ref="G11:L11" si="3">SUM(G12:G13)</f>
        <v>1728000000</v>
      </c>
      <c r="H11" s="1567">
        <f t="shared" si="3"/>
        <v>180866000</v>
      </c>
      <c r="I11" s="1567">
        <f t="shared" si="3"/>
        <v>1908866000</v>
      </c>
      <c r="J11" s="1567">
        <f t="shared" si="3"/>
        <v>0</v>
      </c>
      <c r="K11" s="1567">
        <f t="shared" si="3"/>
        <v>1908866000</v>
      </c>
      <c r="L11" s="1567">
        <f t="shared" si="3"/>
        <v>1908866000</v>
      </c>
      <c r="M11" s="1564"/>
      <c r="N11" s="1559">
        <f t="shared" si="2"/>
        <v>0</v>
      </c>
    </row>
    <row r="12" spans="1:14" ht="31.5">
      <c r="A12" s="1569"/>
      <c r="B12" s="1576" t="s">
        <v>912</v>
      </c>
      <c r="C12" s="1571">
        <v>45</v>
      </c>
      <c r="D12" s="1571">
        <v>22</v>
      </c>
      <c r="E12" s="1569">
        <v>4</v>
      </c>
      <c r="F12" s="1572">
        <v>432000000</v>
      </c>
      <c r="G12" s="1572">
        <f>E12*F12</f>
        <v>1728000000</v>
      </c>
      <c r="H12" s="1577"/>
      <c r="I12" s="1572">
        <f>G12+H12</f>
        <v>1728000000</v>
      </c>
      <c r="J12" s="1572"/>
      <c r="K12" s="1568">
        <f>I12</f>
        <v>1728000000</v>
      </c>
      <c r="L12" s="1568">
        <f t="shared" si="1"/>
        <v>1728000000</v>
      </c>
      <c r="M12" s="1564"/>
      <c r="N12" s="1559">
        <f t="shared" si="2"/>
        <v>0</v>
      </c>
    </row>
    <row r="13" spans="1:14" ht="47.25">
      <c r="A13" s="1569"/>
      <c r="B13" s="1578" t="s">
        <v>913</v>
      </c>
      <c r="C13" s="1571"/>
      <c r="D13" s="1571"/>
      <c r="E13" s="1569"/>
      <c r="F13" s="1572"/>
      <c r="G13" s="1572">
        <f>E13*F13</f>
        <v>0</v>
      </c>
      <c r="H13" s="1577">
        <v>180866000</v>
      </c>
      <c r="I13" s="1572">
        <f>G13+H13</f>
        <v>180866000</v>
      </c>
      <c r="J13" s="1572"/>
      <c r="K13" s="1568">
        <v>180866000</v>
      </c>
      <c r="L13" s="1568">
        <f t="shared" si="1"/>
        <v>180866000</v>
      </c>
      <c r="M13" s="1564" t="s">
        <v>914</v>
      </c>
      <c r="N13" s="1559">
        <f t="shared" si="2"/>
        <v>0</v>
      </c>
    </row>
    <row r="14" spans="1:14" ht="31.5">
      <c r="A14" s="1565">
        <v>3</v>
      </c>
      <c r="B14" s="1566" t="s">
        <v>884</v>
      </c>
      <c r="C14" s="1562"/>
      <c r="D14" s="1562"/>
      <c r="E14" s="1565"/>
      <c r="F14" s="1567"/>
      <c r="G14" s="1567">
        <f t="shared" ref="G14:L14" si="4">SUM(G15:G16)</f>
        <v>0</v>
      </c>
      <c r="H14" s="1567">
        <f t="shared" si="4"/>
        <v>745583000</v>
      </c>
      <c r="I14" s="1567">
        <f t="shared" si="4"/>
        <v>745583000</v>
      </c>
      <c r="J14" s="1567">
        <f t="shared" si="4"/>
        <v>0</v>
      </c>
      <c r="K14" s="1567">
        <f t="shared" si="4"/>
        <v>745583000</v>
      </c>
      <c r="L14" s="1567">
        <f t="shared" si="4"/>
        <v>745583000</v>
      </c>
      <c r="M14" s="1564"/>
      <c r="N14" s="1559">
        <f t="shared" si="2"/>
        <v>0</v>
      </c>
    </row>
    <row r="15" spans="1:14" s="1584" customFormat="1">
      <c r="A15" s="1579"/>
      <c r="B15" s="1575" t="s">
        <v>915</v>
      </c>
      <c r="C15" s="1580"/>
      <c r="D15" s="1580"/>
      <c r="E15" s="1569"/>
      <c r="F15" s="1573"/>
      <c r="G15" s="1572"/>
      <c r="H15" s="1581">
        <v>497500000</v>
      </c>
      <c r="I15" s="1572">
        <f>G15+H15</f>
        <v>497500000</v>
      </c>
      <c r="J15" s="1572"/>
      <c r="K15" s="1582">
        <f>H15</f>
        <v>497500000</v>
      </c>
      <c r="L15" s="1568">
        <f t="shared" si="1"/>
        <v>497500000</v>
      </c>
      <c r="M15" s="1583"/>
      <c r="N15" s="1559">
        <f t="shared" si="2"/>
        <v>0</v>
      </c>
    </row>
    <row r="16" spans="1:14" s="1584" customFormat="1" ht="78.75">
      <c r="A16" s="1579"/>
      <c r="B16" s="1564" t="s">
        <v>916</v>
      </c>
      <c r="C16" s="1580"/>
      <c r="D16" s="1580"/>
      <c r="E16" s="1569"/>
      <c r="F16" s="1573"/>
      <c r="G16" s="1572"/>
      <c r="H16" s="1581">
        <v>248083000</v>
      </c>
      <c r="I16" s="1572">
        <f>G16+H16</f>
        <v>248083000</v>
      </c>
      <c r="J16" s="1572"/>
      <c r="K16" s="1582">
        <f>I16</f>
        <v>248083000</v>
      </c>
      <c r="L16" s="1568">
        <f t="shared" si="1"/>
        <v>248083000</v>
      </c>
      <c r="M16" s="1583"/>
      <c r="N16" s="1559">
        <f t="shared" si="2"/>
        <v>0</v>
      </c>
    </row>
    <row r="17" spans="1:14" ht="40.5" customHeight="1">
      <c r="A17" s="1565">
        <v>4</v>
      </c>
      <c r="B17" s="1566" t="s">
        <v>917</v>
      </c>
      <c r="C17" s="1562"/>
      <c r="D17" s="1562"/>
      <c r="E17" s="1565"/>
      <c r="F17" s="1567"/>
      <c r="G17" s="1567">
        <f>SUM(G18:G18)</f>
        <v>0</v>
      </c>
      <c r="H17" s="1567">
        <f>SUM(H18:H18)</f>
        <v>957000000</v>
      </c>
      <c r="I17" s="1567">
        <f>SUM(I18:I18)</f>
        <v>957000000</v>
      </c>
      <c r="J17" s="1567">
        <f>SUM(J18:J18)</f>
        <v>957000000</v>
      </c>
      <c r="K17" s="1567"/>
      <c r="L17" s="1585">
        <f t="shared" si="1"/>
        <v>957000000</v>
      </c>
      <c r="M17" s="1564" t="s">
        <v>918</v>
      </c>
      <c r="N17" s="1559">
        <f t="shared" si="2"/>
        <v>0</v>
      </c>
    </row>
    <row r="18" spans="1:14" ht="59.25" customHeight="1">
      <c r="A18" s="1565"/>
      <c r="B18" s="1578" t="s">
        <v>919</v>
      </c>
      <c r="C18" s="1562"/>
      <c r="D18" s="1562"/>
      <c r="E18" s="1565"/>
      <c r="F18" s="1567"/>
      <c r="G18" s="1567"/>
      <c r="H18" s="1572">
        <v>957000000</v>
      </c>
      <c r="I18" s="1572">
        <f>G18+H18</f>
        <v>957000000</v>
      </c>
      <c r="J18" s="1572">
        <f>885000000+54000000+18000000</f>
        <v>957000000</v>
      </c>
      <c r="K18" s="1575"/>
      <c r="L18" s="1568">
        <f t="shared" si="1"/>
        <v>957000000</v>
      </c>
      <c r="M18" s="1564" t="s">
        <v>920</v>
      </c>
      <c r="N18" s="1559">
        <f t="shared" si="2"/>
        <v>0</v>
      </c>
    </row>
    <row r="19" spans="1:14" ht="31.5">
      <c r="A19" s="1565">
        <v>5</v>
      </c>
      <c r="B19" s="1566" t="s">
        <v>885</v>
      </c>
      <c r="C19" s="1562"/>
      <c r="D19" s="1562"/>
      <c r="E19" s="1565"/>
      <c r="F19" s="1567"/>
      <c r="G19" s="1567">
        <f t="shared" ref="G19:L19" si="5">SUM(G20:G23)</f>
        <v>707451000</v>
      </c>
      <c r="H19" s="1567">
        <f t="shared" si="5"/>
        <v>0</v>
      </c>
      <c r="I19" s="1567">
        <f t="shared" si="5"/>
        <v>707451000</v>
      </c>
      <c r="J19" s="1567">
        <f t="shared" si="5"/>
        <v>0</v>
      </c>
      <c r="K19" s="1567">
        <f t="shared" si="5"/>
        <v>707451000</v>
      </c>
      <c r="L19" s="1567">
        <f t="shared" si="5"/>
        <v>707451000</v>
      </c>
      <c r="M19" s="1564"/>
      <c r="N19" s="1559">
        <f t="shared" si="2"/>
        <v>0</v>
      </c>
    </row>
    <row r="20" spans="1:14" ht="31.5">
      <c r="A20" s="1569"/>
      <c r="B20" s="1576" t="s">
        <v>921</v>
      </c>
      <c r="C20" s="1586">
        <v>2</v>
      </c>
      <c r="D20" s="1571">
        <v>0</v>
      </c>
      <c r="E20" s="1569">
        <v>1</v>
      </c>
      <c r="F20" s="1572">
        <v>523451000</v>
      </c>
      <c r="G20" s="1572">
        <f>F20*E20</f>
        <v>523451000</v>
      </c>
      <c r="H20" s="1572"/>
      <c r="I20" s="1572">
        <f>G20+H20</f>
        <v>523451000</v>
      </c>
      <c r="J20" s="1572"/>
      <c r="K20" s="1568">
        <f>I20</f>
        <v>523451000</v>
      </c>
      <c r="L20" s="1568">
        <f t="shared" ref="L20:L26" si="6">J20+K20</f>
        <v>523451000</v>
      </c>
      <c r="M20" s="1564"/>
      <c r="N20" s="1559">
        <f t="shared" si="2"/>
        <v>0</v>
      </c>
    </row>
    <row r="21" spans="1:14" ht="47.25">
      <c r="A21" s="1569"/>
      <c r="B21" s="1576" t="s">
        <v>922</v>
      </c>
      <c r="C21" s="1586">
        <v>2</v>
      </c>
      <c r="D21" s="1571">
        <v>0</v>
      </c>
      <c r="E21" s="1569">
        <v>2</v>
      </c>
      <c r="F21" s="1572">
        <v>22000000</v>
      </c>
      <c r="G21" s="1572">
        <f>F21*E21</f>
        <v>44000000</v>
      </c>
      <c r="H21" s="1572"/>
      <c r="I21" s="1572">
        <f>G21+H21</f>
        <v>44000000</v>
      </c>
      <c r="J21" s="1572"/>
      <c r="K21" s="1568">
        <f>I21</f>
        <v>44000000</v>
      </c>
      <c r="L21" s="1568">
        <f t="shared" si="6"/>
        <v>44000000</v>
      </c>
      <c r="M21" s="1564"/>
      <c r="N21" s="1559">
        <f t="shared" si="2"/>
        <v>0</v>
      </c>
    </row>
    <row r="22" spans="1:14" ht="33" customHeight="1">
      <c r="A22" s="1569"/>
      <c r="B22" s="1576" t="s">
        <v>923</v>
      </c>
      <c r="C22" s="1586">
        <v>1</v>
      </c>
      <c r="D22" s="1571">
        <v>0</v>
      </c>
      <c r="E22" s="1569">
        <v>1</v>
      </c>
      <c r="F22" s="1572">
        <v>75000000</v>
      </c>
      <c r="G22" s="1572">
        <f>F22*E22</f>
        <v>75000000</v>
      </c>
      <c r="H22" s="1572"/>
      <c r="I22" s="1572">
        <f>G22+H22</f>
        <v>75000000</v>
      </c>
      <c r="J22" s="1572"/>
      <c r="K22" s="1568">
        <f>I22</f>
        <v>75000000</v>
      </c>
      <c r="L22" s="1568">
        <f t="shared" si="6"/>
        <v>75000000</v>
      </c>
      <c r="M22" s="1564"/>
      <c r="N22" s="1559">
        <f t="shared" si="2"/>
        <v>0</v>
      </c>
    </row>
    <row r="23" spans="1:14">
      <c r="A23" s="1569"/>
      <c r="B23" s="1576" t="s">
        <v>924</v>
      </c>
      <c r="C23" s="1586">
        <v>2</v>
      </c>
      <c r="D23" s="1571">
        <v>3</v>
      </c>
      <c r="E23" s="1569">
        <v>1</v>
      </c>
      <c r="F23" s="1572">
        <v>65000000</v>
      </c>
      <c r="G23" s="1572">
        <f>F23*E23</f>
        <v>65000000</v>
      </c>
      <c r="H23" s="1572"/>
      <c r="I23" s="1572">
        <f>G23+H23</f>
        <v>65000000</v>
      </c>
      <c r="J23" s="1572"/>
      <c r="K23" s="1568">
        <f>I23</f>
        <v>65000000</v>
      </c>
      <c r="L23" s="1568">
        <f t="shared" si="6"/>
        <v>65000000</v>
      </c>
      <c r="M23" s="1564" t="s">
        <v>925</v>
      </c>
      <c r="N23" s="1559">
        <f t="shared" si="2"/>
        <v>0</v>
      </c>
    </row>
    <row r="24" spans="1:14" ht="47.25">
      <c r="A24" s="1565">
        <v>7</v>
      </c>
      <c r="B24" s="1566" t="s">
        <v>926</v>
      </c>
      <c r="C24" s="1587"/>
      <c r="D24" s="1587"/>
      <c r="E24" s="1587"/>
      <c r="F24" s="1567">
        <f t="shared" ref="F24:L24" si="7">SUM(F25:F26)</f>
        <v>5500000</v>
      </c>
      <c r="G24" s="1567">
        <f t="shared" si="7"/>
        <v>5500000</v>
      </c>
      <c r="H24" s="1567">
        <f t="shared" si="7"/>
        <v>576641000</v>
      </c>
      <c r="I24" s="1567">
        <f t="shared" si="7"/>
        <v>582141000</v>
      </c>
      <c r="J24" s="1567">
        <f t="shared" si="7"/>
        <v>0</v>
      </c>
      <c r="K24" s="1567">
        <f t="shared" si="7"/>
        <v>582141000</v>
      </c>
      <c r="L24" s="1567">
        <f t="shared" si="7"/>
        <v>582141000</v>
      </c>
      <c r="M24" s="1564"/>
      <c r="N24" s="1559">
        <f t="shared" si="2"/>
        <v>0</v>
      </c>
    </row>
    <row r="25" spans="1:14" ht="63">
      <c r="A25" s="1569"/>
      <c r="B25" s="1574" t="s">
        <v>927</v>
      </c>
      <c r="C25" s="1571"/>
      <c r="D25" s="1571"/>
      <c r="E25" s="1571"/>
      <c r="F25" s="1588"/>
      <c r="G25" s="1572"/>
      <c r="H25" s="1572">
        <v>576641000</v>
      </c>
      <c r="I25" s="1589">
        <f>H25+G25</f>
        <v>576641000</v>
      </c>
      <c r="J25" s="1589"/>
      <c r="K25" s="1568">
        <f>I25</f>
        <v>576641000</v>
      </c>
      <c r="L25" s="1568">
        <f t="shared" si="6"/>
        <v>576641000</v>
      </c>
      <c r="M25" s="1564" t="s">
        <v>928</v>
      </c>
      <c r="N25" s="1559">
        <f t="shared" si="2"/>
        <v>0</v>
      </c>
    </row>
    <row r="26" spans="1:14" ht="31.5">
      <c r="A26" s="1569"/>
      <c r="B26" s="1574" t="s">
        <v>929</v>
      </c>
      <c r="C26" s="1571">
        <v>1</v>
      </c>
      <c r="D26" s="1571">
        <v>0</v>
      </c>
      <c r="E26" s="1571">
        <v>1</v>
      </c>
      <c r="F26" s="1588">
        <v>5500000</v>
      </c>
      <c r="G26" s="1572">
        <f>F26*E26</f>
        <v>5500000</v>
      </c>
      <c r="H26" s="1572"/>
      <c r="I26" s="1589">
        <f>H26+G26</f>
        <v>5500000</v>
      </c>
      <c r="J26" s="1589"/>
      <c r="K26" s="1573">
        <v>5500000</v>
      </c>
      <c r="L26" s="1568">
        <f t="shared" si="6"/>
        <v>5500000</v>
      </c>
      <c r="M26" s="1564"/>
      <c r="N26" s="1559">
        <f t="shared" si="2"/>
        <v>0</v>
      </c>
    </row>
    <row r="27" spans="1:14">
      <c r="A27" s="1565" t="s">
        <v>804</v>
      </c>
      <c r="B27" s="1566" t="s">
        <v>930</v>
      </c>
      <c r="C27" s="1562"/>
      <c r="D27" s="1562"/>
      <c r="E27" s="1565"/>
      <c r="F27" s="1590"/>
      <c r="G27" s="1591">
        <f t="shared" ref="G27:L27" si="8">G28+G33+G38+G42+G47+G56+G66+G72+G78+G87+G95</f>
        <v>5783421000</v>
      </c>
      <c r="H27" s="1591">
        <f t="shared" si="8"/>
        <v>15330586000</v>
      </c>
      <c r="I27" s="1591">
        <f t="shared" si="8"/>
        <v>21114007000</v>
      </c>
      <c r="J27" s="1591">
        <f t="shared" si="8"/>
        <v>4850960000</v>
      </c>
      <c r="K27" s="1591">
        <f t="shared" si="8"/>
        <v>16263047000</v>
      </c>
      <c r="L27" s="1591">
        <f t="shared" si="8"/>
        <v>21114007000</v>
      </c>
      <c r="M27" s="1564"/>
      <c r="N27" s="1559">
        <f t="shared" si="2"/>
        <v>0</v>
      </c>
    </row>
    <row r="28" spans="1:14" ht="31.5">
      <c r="A28" s="1565">
        <v>1</v>
      </c>
      <c r="B28" s="1566" t="s">
        <v>733</v>
      </c>
      <c r="C28" s="1562"/>
      <c r="D28" s="1562"/>
      <c r="E28" s="1565"/>
      <c r="F28" s="1567"/>
      <c r="G28" s="1567">
        <f>SUM(G29:G32)</f>
        <v>1227000000</v>
      </c>
      <c r="H28" s="1567">
        <f>SUM(H29:H32)</f>
        <v>1179203818</v>
      </c>
      <c r="I28" s="1567">
        <f>SUM(I29:I32)</f>
        <v>2406203818</v>
      </c>
      <c r="J28" s="1567">
        <f>SUM(J29:J32)</f>
        <v>0</v>
      </c>
      <c r="K28" s="1567">
        <f>SUM(K29:K32)</f>
        <v>2406203818</v>
      </c>
      <c r="L28" s="1585">
        <f t="shared" ref="L28:L65" si="9">J28+K28</f>
        <v>2406203818</v>
      </c>
      <c r="M28" s="1564"/>
      <c r="N28" s="1559">
        <f t="shared" si="2"/>
        <v>0</v>
      </c>
    </row>
    <row r="29" spans="1:14">
      <c r="A29" s="1565"/>
      <c r="B29" s="1576" t="s">
        <v>931</v>
      </c>
      <c r="C29" s="1586">
        <v>4</v>
      </c>
      <c r="D29" s="1586">
        <v>1</v>
      </c>
      <c r="E29" s="1592">
        <v>1</v>
      </c>
      <c r="F29" s="1572">
        <v>907000000</v>
      </c>
      <c r="G29" s="1572">
        <f>F29*E29</f>
        <v>907000000</v>
      </c>
      <c r="H29" s="1572"/>
      <c r="I29" s="1572">
        <f>G29+H29</f>
        <v>907000000</v>
      </c>
      <c r="J29" s="1572"/>
      <c r="K29" s="1568">
        <f>I29</f>
        <v>907000000</v>
      </c>
      <c r="L29" s="1568">
        <f t="shared" si="9"/>
        <v>907000000</v>
      </c>
      <c r="M29" s="1564"/>
      <c r="N29" s="1559">
        <f t="shared" si="2"/>
        <v>0</v>
      </c>
    </row>
    <row r="30" spans="1:14" ht="31.5">
      <c r="A30" s="1565"/>
      <c r="B30" s="1576" t="s">
        <v>932</v>
      </c>
      <c r="C30" s="1586">
        <v>5</v>
      </c>
      <c r="D30" s="1571">
        <v>1</v>
      </c>
      <c r="E30" s="1569">
        <v>2</v>
      </c>
      <c r="F30" s="1572">
        <v>80000000</v>
      </c>
      <c r="G30" s="1572">
        <f>F30*E30</f>
        <v>160000000</v>
      </c>
      <c r="H30" s="1572"/>
      <c r="I30" s="1572">
        <f>G30+H30</f>
        <v>160000000</v>
      </c>
      <c r="J30" s="1572"/>
      <c r="K30" s="1568">
        <f>2*80000000</f>
        <v>160000000</v>
      </c>
      <c r="L30" s="1568">
        <f t="shared" si="9"/>
        <v>160000000</v>
      </c>
      <c r="M30" s="1564"/>
      <c r="N30" s="1559">
        <f t="shared" si="2"/>
        <v>0</v>
      </c>
    </row>
    <row r="31" spans="1:14" ht="31.5">
      <c r="A31" s="1565"/>
      <c r="B31" s="1576" t="s">
        <v>933</v>
      </c>
      <c r="C31" s="1586">
        <v>1</v>
      </c>
      <c r="D31" s="1571">
        <v>0</v>
      </c>
      <c r="E31" s="1569">
        <v>1</v>
      </c>
      <c r="F31" s="1572">
        <v>160000000</v>
      </c>
      <c r="G31" s="1572">
        <f>F31*E31</f>
        <v>160000000</v>
      </c>
      <c r="H31" s="1572"/>
      <c r="I31" s="1572">
        <f>G31+H31</f>
        <v>160000000</v>
      </c>
      <c r="J31" s="1572"/>
      <c r="K31" s="1573">
        <v>160000000</v>
      </c>
      <c r="L31" s="1568">
        <f t="shared" si="9"/>
        <v>160000000</v>
      </c>
      <c r="M31" s="1564"/>
      <c r="N31" s="1559">
        <f t="shared" si="2"/>
        <v>0</v>
      </c>
    </row>
    <row r="32" spans="1:14" ht="94.5">
      <c r="A32" s="1565"/>
      <c r="B32" s="1574" t="s">
        <v>934</v>
      </c>
      <c r="C32" s="1571"/>
      <c r="D32" s="1571"/>
      <c r="E32" s="1569"/>
      <c r="F32" s="1572"/>
      <c r="G32" s="1572"/>
      <c r="H32" s="1572">
        <v>1179203818</v>
      </c>
      <c r="I32" s="1572">
        <f>G32+H32</f>
        <v>1179203818</v>
      </c>
      <c r="J32" s="1572"/>
      <c r="K32" s="1572">
        <v>1179203818</v>
      </c>
      <c r="L32" s="1568">
        <f t="shared" si="9"/>
        <v>1179203818</v>
      </c>
      <c r="M32" s="1564"/>
      <c r="N32" s="1559">
        <f t="shared" si="2"/>
        <v>0</v>
      </c>
    </row>
    <row r="33" spans="1:14" ht="31.5">
      <c r="A33" s="1565">
        <v>2</v>
      </c>
      <c r="B33" s="1566" t="s">
        <v>737</v>
      </c>
      <c r="C33" s="1562"/>
      <c r="D33" s="1562"/>
      <c r="E33" s="1565"/>
      <c r="F33" s="1567"/>
      <c r="G33" s="1567">
        <f>SUM(G37:G37)</f>
        <v>0</v>
      </c>
      <c r="H33" s="1567">
        <f>SUM(H34:H37)</f>
        <v>1695302000</v>
      </c>
      <c r="I33" s="1567">
        <f>SUM(I34:I37)</f>
        <v>1695302000</v>
      </c>
      <c r="J33" s="1567">
        <f>SUM(J34:J37)</f>
        <v>560000000</v>
      </c>
      <c r="K33" s="1567">
        <f>SUM(K34:K37)</f>
        <v>1135302000</v>
      </c>
      <c r="L33" s="1568">
        <f t="shared" si="9"/>
        <v>1695302000</v>
      </c>
      <c r="M33" s="1564"/>
      <c r="N33" s="1559">
        <f t="shared" si="2"/>
        <v>0</v>
      </c>
    </row>
    <row r="34" spans="1:14" ht="31.5">
      <c r="A34" s="1569"/>
      <c r="B34" s="1574" t="s">
        <v>935</v>
      </c>
      <c r="C34" s="1571"/>
      <c r="D34" s="1571"/>
      <c r="E34" s="1569"/>
      <c r="F34" s="1572"/>
      <c r="G34" s="1572"/>
      <c r="H34" s="1572">
        <v>560000000</v>
      </c>
      <c r="I34" s="1572">
        <f>H34+G34</f>
        <v>560000000</v>
      </c>
      <c r="J34" s="1572">
        <f>522000000+31000000+7000000</f>
        <v>560000000</v>
      </c>
      <c r="K34" s="1575"/>
      <c r="L34" s="1568">
        <f t="shared" si="9"/>
        <v>560000000</v>
      </c>
      <c r="M34" s="1564" t="s">
        <v>936</v>
      </c>
      <c r="N34" s="1559">
        <f t="shared" si="2"/>
        <v>0</v>
      </c>
    </row>
    <row r="35" spans="1:14" ht="78.75">
      <c r="A35" s="1565"/>
      <c r="B35" s="1574" t="s">
        <v>937</v>
      </c>
      <c r="C35" s="1571"/>
      <c r="D35" s="1571"/>
      <c r="E35" s="1565"/>
      <c r="F35" s="1567"/>
      <c r="G35" s="1567"/>
      <c r="H35" s="1572">
        <v>613467000</v>
      </c>
      <c r="I35" s="1572">
        <f>H35+G35</f>
        <v>613467000</v>
      </c>
      <c r="J35" s="1572"/>
      <c r="K35" s="1572">
        <f>I35</f>
        <v>613467000</v>
      </c>
      <c r="L35" s="1568">
        <f t="shared" si="9"/>
        <v>613467000</v>
      </c>
      <c r="M35" s="1564"/>
      <c r="N35" s="1559">
        <f t="shared" si="2"/>
        <v>0</v>
      </c>
    </row>
    <row r="36" spans="1:14" ht="31.5">
      <c r="A36" s="1565"/>
      <c r="B36" s="1574" t="s">
        <v>938</v>
      </c>
      <c r="C36" s="1571"/>
      <c r="D36" s="1571"/>
      <c r="E36" s="1565"/>
      <c r="F36" s="1567"/>
      <c r="G36" s="1567"/>
      <c r="H36" s="1572">
        <v>450861000</v>
      </c>
      <c r="I36" s="1572">
        <f>H36+G36</f>
        <v>450861000</v>
      </c>
      <c r="J36" s="1572"/>
      <c r="K36" s="1572">
        <f>I36</f>
        <v>450861000</v>
      </c>
      <c r="L36" s="1568">
        <f t="shared" si="9"/>
        <v>450861000</v>
      </c>
      <c r="M36" s="1564"/>
      <c r="N36" s="1559">
        <f t="shared" si="2"/>
        <v>0</v>
      </c>
    </row>
    <row r="37" spans="1:14" ht="94.5">
      <c r="A37" s="1569"/>
      <c r="B37" s="1574" t="s">
        <v>939</v>
      </c>
      <c r="C37" s="1571"/>
      <c r="D37" s="1571"/>
      <c r="E37" s="1569"/>
      <c r="F37" s="1572"/>
      <c r="G37" s="1572"/>
      <c r="H37" s="1572">
        <v>70974000</v>
      </c>
      <c r="I37" s="1572">
        <f>H37+G37</f>
        <v>70974000</v>
      </c>
      <c r="J37" s="1572"/>
      <c r="K37" s="1572">
        <f>I37</f>
        <v>70974000</v>
      </c>
      <c r="L37" s="1568">
        <f t="shared" si="9"/>
        <v>70974000</v>
      </c>
      <c r="M37" s="1564"/>
      <c r="N37" s="1559">
        <f t="shared" si="2"/>
        <v>0</v>
      </c>
    </row>
    <row r="38" spans="1:14" ht="31.5">
      <c r="A38" s="1565">
        <v>3</v>
      </c>
      <c r="B38" s="1566" t="s">
        <v>727</v>
      </c>
      <c r="C38" s="1562"/>
      <c r="D38" s="1562"/>
      <c r="E38" s="1565"/>
      <c r="F38" s="1567"/>
      <c r="G38" s="1567">
        <f t="shared" ref="G38:M38" si="10">SUM(G39:G41)</f>
        <v>0</v>
      </c>
      <c r="H38" s="1567">
        <f t="shared" si="10"/>
        <v>2134768000</v>
      </c>
      <c r="I38" s="1567">
        <f t="shared" si="10"/>
        <v>2134768000</v>
      </c>
      <c r="J38" s="1567">
        <f t="shared" si="10"/>
        <v>700000000</v>
      </c>
      <c r="K38" s="1567">
        <f t="shared" si="10"/>
        <v>1434768000</v>
      </c>
      <c r="L38" s="1567">
        <f t="shared" si="10"/>
        <v>2134768000</v>
      </c>
      <c r="M38" s="1567">
        <f t="shared" si="10"/>
        <v>0</v>
      </c>
      <c r="N38" s="1559">
        <f t="shared" si="2"/>
        <v>0</v>
      </c>
    </row>
    <row r="39" spans="1:14" ht="31.5">
      <c r="A39" s="1565"/>
      <c r="B39" s="1574" t="s">
        <v>940</v>
      </c>
      <c r="C39" s="1562"/>
      <c r="D39" s="1562"/>
      <c r="E39" s="1565"/>
      <c r="F39" s="1567"/>
      <c r="G39" s="1567"/>
      <c r="H39" s="1572">
        <v>700000000</v>
      </c>
      <c r="I39" s="1572">
        <f>G39+H39</f>
        <v>700000000</v>
      </c>
      <c r="J39" s="1572">
        <v>700000000</v>
      </c>
      <c r="K39" s="1575"/>
      <c r="L39" s="1568">
        <f t="shared" si="9"/>
        <v>700000000</v>
      </c>
      <c r="M39" s="1564"/>
      <c r="N39" s="1559">
        <f t="shared" si="2"/>
        <v>0</v>
      </c>
    </row>
    <row r="40" spans="1:14" ht="31.5">
      <c r="A40" s="1569"/>
      <c r="B40" s="1574" t="s">
        <v>941</v>
      </c>
      <c r="C40" s="1571"/>
      <c r="D40" s="1571"/>
      <c r="E40" s="1569"/>
      <c r="F40" s="1572"/>
      <c r="G40" s="1572"/>
      <c r="H40" s="1572">
        <v>934768000</v>
      </c>
      <c r="I40" s="1572">
        <f>G40+H40</f>
        <v>934768000</v>
      </c>
      <c r="J40" s="1572"/>
      <c r="K40" s="1568">
        <f>I40</f>
        <v>934768000</v>
      </c>
      <c r="L40" s="1568">
        <f t="shared" si="9"/>
        <v>934768000</v>
      </c>
      <c r="M40" s="1564"/>
      <c r="N40" s="1559">
        <f t="shared" si="2"/>
        <v>0</v>
      </c>
    </row>
    <row r="41" spans="1:14" ht="31.5">
      <c r="A41" s="1569"/>
      <c r="B41" s="1574" t="s">
        <v>942</v>
      </c>
      <c r="C41" s="1571"/>
      <c r="D41" s="1571"/>
      <c r="E41" s="1569"/>
      <c r="F41" s="1572"/>
      <c r="G41" s="1572"/>
      <c r="H41" s="1572">
        <v>500000000</v>
      </c>
      <c r="I41" s="1572">
        <f>G41+H41</f>
        <v>500000000</v>
      </c>
      <c r="J41" s="1572"/>
      <c r="K41" s="1568">
        <v>500000000</v>
      </c>
      <c r="L41" s="1568">
        <f t="shared" si="9"/>
        <v>500000000</v>
      </c>
      <c r="M41" s="1564"/>
      <c r="N41" s="1559">
        <f t="shared" si="2"/>
        <v>0</v>
      </c>
    </row>
    <row r="42" spans="1:14" ht="31.5">
      <c r="A42" s="1565">
        <v>4</v>
      </c>
      <c r="B42" s="1566" t="s">
        <v>728</v>
      </c>
      <c r="C42" s="1562"/>
      <c r="D42" s="1562"/>
      <c r="E42" s="1565"/>
      <c r="F42" s="1567"/>
      <c r="G42" s="1567">
        <f t="shared" ref="G42:L42" si="11">SUM(G43:G46)</f>
        <v>1156000000</v>
      </c>
      <c r="H42" s="1567">
        <f t="shared" si="11"/>
        <v>361904000</v>
      </c>
      <c r="I42" s="1567">
        <f t="shared" si="11"/>
        <v>1517904000</v>
      </c>
      <c r="J42" s="1567">
        <f t="shared" si="11"/>
        <v>538000000</v>
      </c>
      <c r="K42" s="1567">
        <f t="shared" si="11"/>
        <v>979904000</v>
      </c>
      <c r="L42" s="1567">
        <f t="shared" si="11"/>
        <v>1517904000</v>
      </c>
      <c r="M42" s="1564"/>
      <c r="N42" s="1559">
        <f t="shared" si="2"/>
        <v>0</v>
      </c>
    </row>
    <row r="43" spans="1:14" ht="31.5">
      <c r="A43" s="1565"/>
      <c r="B43" s="1576" t="s">
        <v>943</v>
      </c>
      <c r="C43" s="1593">
        <v>2</v>
      </c>
      <c r="E43" s="1569">
        <v>1</v>
      </c>
      <c r="F43" s="1572">
        <v>396000000</v>
      </c>
      <c r="G43" s="1572">
        <f>E43*F43</f>
        <v>396000000</v>
      </c>
      <c r="H43" s="1567"/>
      <c r="I43" s="1572">
        <f>H43+G43</f>
        <v>396000000</v>
      </c>
      <c r="J43" s="1572">
        <v>396000000</v>
      </c>
      <c r="K43" s="1575"/>
      <c r="L43" s="1568">
        <f t="shared" si="9"/>
        <v>396000000</v>
      </c>
      <c r="M43" s="1564"/>
      <c r="N43" s="1559">
        <f t="shared" si="2"/>
        <v>0</v>
      </c>
    </row>
    <row r="44" spans="1:14">
      <c r="A44" s="1565"/>
      <c r="B44" s="1576" t="s">
        <v>924</v>
      </c>
      <c r="C44" s="1593">
        <v>2</v>
      </c>
      <c r="E44" s="1569">
        <v>1</v>
      </c>
      <c r="F44" s="1572">
        <v>142000000</v>
      </c>
      <c r="G44" s="1572">
        <f>E44*F44</f>
        <v>142000000</v>
      </c>
      <c r="H44" s="1567"/>
      <c r="I44" s="1572">
        <f>H44+G44</f>
        <v>142000000</v>
      </c>
      <c r="J44" s="1572">
        <v>142000000</v>
      </c>
      <c r="K44" s="1575"/>
      <c r="L44" s="1568">
        <f t="shared" si="9"/>
        <v>142000000</v>
      </c>
      <c r="M44" s="1564"/>
      <c r="N44" s="1559">
        <f t="shared" si="2"/>
        <v>0</v>
      </c>
    </row>
    <row r="45" spans="1:14">
      <c r="A45" s="1569"/>
      <c r="B45" s="1576" t="s">
        <v>944</v>
      </c>
      <c r="C45" s="1586">
        <v>2</v>
      </c>
      <c r="D45" s="1571">
        <v>1</v>
      </c>
      <c r="E45" s="1569">
        <v>1</v>
      </c>
      <c r="F45" s="1572">
        <v>618000000</v>
      </c>
      <c r="G45" s="1572">
        <f>F45*E45</f>
        <v>618000000</v>
      </c>
      <c r="H45" s="1572"/>
      <c r="I45" s="1572">
        <f>H45+G45</f>
        <v>618000000</v>
      </c>
      <c r="J45" s="1572"/>
      <c r="K45" s="1568">
        <f>I45</f>
        <v>618000000</v>
      </c>
      <c r="L45" s="1568">
        <f>J45+K45</f>
        <v>618000000</v>
      </c>
      <c r="M45" s="1564" t="s">
        <v>945</v>
      </c>
      <c r="N45" s="1559">
        <f>I45-L45</f>
        <v>0</v>
      </c>
    </row>
    <row r="46" spans="1:14" ht="63">
      <c r="A46" s="1569"/>
      <c r="B46" s="1574" t="s">
        <v>946</v>
      </c>
      <c r="C46" s="1571"/>
      <c r="D46" s="1571"/>
      <c r="E46" s="1569"/>
      <c r="F46" s="1572"/>
      <c r="G46" s="1572"/>
      <c r="H46" s="1572">
        <v>361904000</v>
      </c>
      <c r="I46" s="1572">
        <f>H46+G46</f>
        <v>361904000</v>
      </c>
      <c r="J46" s="1572"/>
      <c r="K46" s="1568">
        <f>I46</f>
        <v>361904000</v>
      </c>
      <c r="L46" s="1568">
        <f t="shared" si="9"/>
        <v>361904000</v>
      </c>
      <c r="M46" s="1564"/>
      <c r="N46" s="1559">
        <f t="shared" si="2"/>
        <v>0</v>
      </c>
    </row>
    <row r="47" spans="1:14" ht="31.5">
      <c r="A47" s="1565">
        <v>5</v>
      </c>
      <c r="B47" s="1566" t="s">
        <v>732</v>
      </c>
      <c r="C47" s="1587"/>
      <c r="D47" s="1587"/>
      <c r="E47" s="1587"/>
      <c r="F47" s="1567">
        <f t="shared" ref="F47:L47" si="12">SUM(F48:F55)</f>
        <v>144160000</v>
      </c>
      <c r="G47" s="1567">
        <f t="shared" si="12"/>
        <v>180440000</v>
      </c>
      <c r="H47" s="1567">
        <f t="shared" si="12"/>
        <v>748391000</v>
      </c>
      <c r="I47" s="1567">
        <f t="shared" si="12"/>
        <v>928831000</v>
      </c>
      <c r="J47" s="1567">
        <f t="shared" si="12"/>
        <v>72560000</v>
      </c>
      <c r="K47" s="1567">
        <f t="shared" si="12"/>
        <v>856271000</v>
      </c>
      <c r="L47" s="1567">
        <f t="shared" si="12"/>
        <v>928831000</v>
      </c>
      <c r="M47" s="1564"/>
      <c r="N47" s="1559">
        <f t="shared" si="2"/>
        <v>0</v>
      </c>
    </row>
    <row r="48" spans="1:14">
      <c r="A48" s="1565"/>
      <c r="B48" s="1576" t="s">
        <v>947</v>
      </c>
      <c r="C48" s="1586">
        <v>10</v>
      </c>
      <c r="D48" s="1587"/>
      <c r="E48" s="1569">
        <v>2</v>
      </c>
      <c r="F48" s="1572">
        <v>36280000</v>
      </c>
      <c r="G48" s="1572">
        <f>F48*E48</f>
        <v>72560000</v>
      </c>
      <c r="H48" s="1567"/>
      <c r="I48" s="1572">
        <f>G48+H48</f>
        <v>72560000</v>
      </c>
      <c r="J48" s="1572">
        <f>F48*2</f>
        <v>72560000</v>
      </c>
      <c r="K48" s="1575"/>
      <c r="L48" s="1568">
        <f t="shared" si="9"/>
        <v>72560000</v>
      </c>
      <c r="M48" s="1564"/>
      <c r="N48" s="1559">
        <f t="shared" si="2"/>
        <v>0</v>
      </c>
    </row>
    <row r="49" spans="1:14" ht="31.5">
      <c r="A49" s="1569"/>
      <c r="B49" s="1574" t="s">
        <v>948</v>
      </c>
      <c r="C49" s="1571"/>
      <c r="D49" s="1571"/>
      <c r="E49" s="1569"/>
      <c r="F49" s="1572"/>
      <c r="G49" s="1572"/>
      <c r="H49" s="1572">
        <v>480834000</v>
      </c>
      <c r="I49" s="1572">
        <f t="shared" ref="I49:I55" si="13">G49+H49</f>
        <v>480834000</v>
      </c>
      <c r="J49" s="1572"/>
      <c r="K49" s="1568">
        <f t="shared" ref="K49:K55" si="14">I49</f>
        <v>480834000</v>
      </c>
      <c r="L49" s="1568">
        <f t="shared" si="9"/>
        <v>480834000</v>
      </c>
      <c r="M49" s="1564"/>
      <c r="N49" s="1559">
        <f t="shared" si="2"/>
        <v>0</v>
      </c>
    </row>
    <row r="50" spans="1:14" ht="31.5">
      <c r="A50" s="1569"/>
      <c r="B50" s="1574" t="s">
        <v>949</v>
      </c>
      <c r="C50" s="1571"/>
      <c r="D50" s="1571"/>
      <c r="E50" s="1569"/>
      <c r="F50" s="1572"/>
      <c r="G50" s="1572"/>
      <c r="H50" s="1572">
        <v>145057000</v>
      </c>
      <c r="I50" s="1572">
        <f t="shared" si="13"/>
        <v>145057000</v>
      </c>
      <c r="J50" s="1572"/>
      <c r="K50" s="1568">
        <f t="shared" si="14"/>
        <v>145057000</v>
      </c>
      <c r="L50" s="1568">
        <f t="shared" si="9"/>
        <v>145057000</v>
      </c>
      <c r="M50" s="1564"/>
      <c r="N50" s="1559">
        <f t="shared" si="2"/>
        <v>0</v>
      </c>
    </row>
    <row r="51" spans="1:14" ht="47.25">
      <c r="A51" s="1569"/>
      <c r="B51" s="1574" t="s">
        <v>950</v>
      </c>
      <c r="C51" s="1571"/>
      <c r="D51" s="1571"/>
      <c r="E51" s="1569"/>
      <c r="F51" s="1572"/>
      <c r="G51" s="1572"/>
      <c r="H51" s="1572">
        <v>36000000</v>
      </c>
      <c r="I51" s="1572">
        <f t="shared" si="13"/>
        <v>36000000</v>
      </c>
      <c r="J51" s="1572"/>
      <c r="K51" s="1568">
        <f t="shared" si="14"/>
        <v>36000000</v>
      </c>
      <c r="L51" s="1568">
        <f t="shared" si="9"/>
        <v>36000000</v>
      </c>
      <c r="M51" s="1564"/>
      <c r="N51" s="1559">
        <f t="shared" si="2"/>
        <v>0</v>
      </c>
    </row>
    <row r="52" spans="1:14" ht="47.25">
      <c r="A52" s="1569"/>
      <c r="B52" s="1574" t="s">
        <v>951</v>
      </c>
      <c r="C52" s="1571"/>
      <c r="D52" s="1571"/>
      <c r="E52" s="1569"/>
      <c r="F52" s="1572"/>
      <c r="G52" s="1572"/>
      <c r="H52" s="1572">
        <v>55000000</v>
      </c>
      <c r="I52" s="1572">
        <f t="shared" si="13"/>
        <v>55000000</v>
      </c>
      <c r="J52" s="1572"/>
      <c r="K52" s="1568">
        <f t="shared" si="14"/>
        <v>55000000</v>
      </c>
      <c r="L52" s="1568">
        <f t="shared" si="9"/>
        <v>55000000</v>
      </c>
      <c r="M52" s="1564"/>
      <c r="N52" s="1559">
        <f t="shared" si="2"/>
        <v>0</v>
      </c>
    </row>
    <row r="53" spans="1:14" ht="31.5">
      <c r="A53" s="1569"/>
      <c r="B53" s="1574" t="s">
        <v>952</v>
      </c>
      <c r="C53" s="1571"/>
      <c r="D53" s="1571"/>
      <c r="E53" s="1569"/>
      <c r="F53" s="1572"/>
      <c r="G53" s="1572"/>
      <c r="H53" s="1572">
        <v>8500000</v>
      </c>
      <c r="I53" s="1572">
        <f t="shared" si="13"/>
        <v>8500000</v>
      </c>
      <c r="J53" s="1572"/>
      <c r="K53" s="1568">
        <f t="shared" si="14"/>
        <v>8500000</v>
      </c>
      <c r="L53" s="1568">
        <f t="shared" si="9"/>
        <v>8500000</v>
      </c>
      <c r="M53" s="1564"/>
      <c r="N53" s="1559">
        <f t="shared" si="2"/>
        <v>0</v>
      </c>
    </row>
    <row r="54" spans="1:14" ht="31.5">
      <c r="A54" s="1569"/>
      <c r="B54" s="1574" t="s">
        <v>953</v>
      </c>
      <c r="C54" s="1571"/>
      <c r="D54" s="1571"/>
      <c r="E54" s="1569"/>
      <c r="F54" s="1572"/>
      <c r="G54" s="1572"/>
      <c r="H54" s="1572">
        <v>23000000</v>
      </c>
      <c r="I54" s="1572">
        <f t="shared" si="13"/>
        <v>23000000</v>
      </c>
      <c r="J54" s="1572"/>
      <c r="K54" s="1568">
        <f t="shared" si="14"/>
        <v>23000000</v>
      </c>
      <c r="L54" s="1568">
        <f t="shared" si="9"/>
        <v>23000000</v>
      </c>
      <c r="M54" s="1564"/>
      <c r="N54" s="1559">
        <f t="shared" si="2"/>
        <v>0</v>
      </c>
    </row>
    <row r="55" spans="1:14" ht="50.25" customHeight="1">
      <c r="A55" s="1569"/>
      <c r="B55" s="1576" t="s">
        <v>954</v>
      </c>
      <c r="C55" s="1586">
        <v>1</v>
      </c>
      <c r="D55" s="1571">
        <v>0</v>
      </c>
      <c r="E55" s="1569">
        <v>1</v>
      </c>
      <c r="F55" s="1572">
        <v>107880000</v>
      </c>
      <c r="G55" s="1572">
        <f>F55*E55</f>
        <v>107880000</v>
      </c>
      <c r="H55" s="1572"/>
      <c r="I55" s="1572">
        <f t="shared" si="13"/>
        <v>107880000</v>
      </c>
      <c r="J55" s="1572"/>
      <c r="K55" s="1568">
        <f t="shared" si="14"/>
        <v>107880000</v>
      </c>
      <c r="L55" s="1568">
        <f t="shared" si="9"/>
        <v>107880000</v>
      </c>
      <c r="M55" s="1564"/>
      <c r="N55" s="1559">
        <f t="shared" si="2"/>
        <v>0</v>
      </c>
    </row>
    <row r="56" spans="1:14" ht="31.5">
      <c r="A56" s="1565">
        <v>7</v>
      </c>
      <c r="B56" s="1566" t="s">
        <v>729</v>
      </c>
      <c r="C56" s="1562"/>
      <c r="D56" s="1562"/>
      <c r="E56" s="1594"/>
      <c r="F56" s="1595">
        <f t="shared" ref="F56:L56" si="15">SUM(F57:F65)</f>
        <v>805350000</v>
      </c>
      <c r="G56" s="1595">
        <f t="shared" si="15"/>
        <v>928850000</v>
      </c>
      <c r="H56" s="1595">
        <f t="shared" si="15"/>
        <v>1153000000</v>
      </c>
      <c r="I56" s="1595">
        <f t="shared" si="15"/>
        <v>2081850000</v>
      </c>
      <c r="J56" s="1595">
        <f t="shared" si="15"/>
        <v>531000000</v>
      </c>
      <c r="K56" s="1595">
        <f t="shared" si="15"/>
        <v>1550850000</v>
      </c>
      <c r="L56" s="1595">
        <f t="shared" si="15"/>
        <v>2081850000</v>
      </c>
      <c r="M56" s="1564"/>
      <c r="N56" s="1559">
        <f t="shared" si="2"/>
        <v>0</v>
      </c>
    </row>
    <row r="57" spans="1:14" ht="31.5">
      <c r="A57" s="1565"/>
      <c r="B57" s="1576" t="s">
        <v>955</v>
      </c>
      <c r="C57" s="1586">
        <v>1</v>
      </c>
      <c r="D57" s="1562"/>
      <c r="E57" s="1569">
        <v>1</v>
      </c>
      <c r="F57" s="1572">
        <v>170000000</v>
      </c>
      <c r="G57" s="1572">
        <f>E57*F57</f>
        <v>170000000</v>
      </c>
      <c r="H57" s="1595"/>
      <c r="I57" s="1596">
        <f>G57+H57</f>
        <v>170000000</v>
      </c>
      <c r="J57" s="1596">
        <v>170000000</v>
      </c>
      <c r="K57" s="1575"/>
      <c r="L57" s="1568">
        <f t="shared" si="9"/>
        <v>170000000</v>
      </c>
      <c r="M57" s="1564"/>
      <c r="N57" s="1559">
        <f t="shared" si="2"/>
        <v>0</v>
      </c>
    </row>
    <row r="58" spans="1:14">
      <c r="A58" s="1565"/>
      <c r="B58" s="1576" t="s">
        <v>956</v>
      </c>
      <c r="C58" s="1586">
        <v>2</v>
      </c>
      <c r="D58" s="1562"/>
      <c r="E58" s="1569">
        <v>2</v>
      </c>
      <c r="F58" s="1572">
        <v>65500000</v>
      </c>
      <c r="G58" s="1572">
        <f>E58*F58</f>
        <v>131000000</v>
      </c>
      <c r="H58" s="1595"/>
      <c r="I58" s="1596">
        <f t="shared" ref="I58:I65" si="16">G58+H58</f>
        <v>131000000</v>
      </c>
      <c r="J58" s="1596">
        <v>131000000</v>
      </c>
      <c r="K58" s="1575"/>
      <c r="L58" s="1568">
        <f t="shared" si="9"/>
        <v>131000000</v>
      </c>
      <c r="M58" s="1564"/>
      <c r="N58" s="1559">
        <f t="shared" si="2"/>
        <v>0</v>
      </c>
    </row>
    <row r="59" spans="1:14">
      <c r="A59" s="1565"/>
      <c r="B59" s="1576" t="s">
        <v>957</v>
      </c>
      <c r="C59" s="1586">
        <v>2</v>
      </c>
      <c r="D59" s="1562"/>
      <c r="E59" s="1569">
        <v>1</v>
      </c>
      <c r="F59" s="1572">
        <v>72000000</v>
      </c>
      <c r="G59" s="1572">
        <f>E59*F59</f>
        <v>72000000</v>
      </c>
      <c r="H59" s="1595"/>
      <c r="I59" s="1596">
        <f t="shared" si="16"/>
        <v>72000000</v>
      </c>
      <c r="J59" s="1596">
        <v>72000000</v>
      </c>
      <c r="K59" s="1575"/>
      <c r="L59" s="1568">
        <f t="shared" si="9"/>
        <v>72000000</v>
      </c>
      <c r="M59" s="1564"/>
      <c r="N59" s="1559">
        <f t="shared" si="2"/>
        <v>0</v>
      </c>
    </row>
    <row r="60" spans="1:14" ht="31.5">
      <c r="A60" s="1565"/>
      <c r="B60" s="1576" t="s">
        <v>958</v>
      </c>
      <c r="C60" s="1586">
        <v>1</v>
      </c>
      <c r="D60" s="1562"/>
      <c r="E60" s="1569">
        <v>1</v>
      </c>
      <c r="F60" s="1572">
        <v>42000000</v>
      </c>
      <c r="G60" s="1572">
        <f>E60*F60</f>
        <v>42000000</v>
      </c>
      <c r="H60" s="1595"/>
      <c r="I60" s="1596">
        <f t="shared" si="16"/>
        <v>42000000</v>
      </c>
      <c r="J60" s="1596">
        <v>42000000</v>
      </c>
      <c r="K60" s="1575"/>
      <c r="L60" s="1568">
        <f t="shared" si="9"/>
        <v>42000000</v>
      </c>
      <c r="M60" s="1564"/>
      <c r="N60" s="1559">
        <f t="shared" si="2"/>
        <v>0</v>
      </c>
    </row>
    <row r="61" spans="1:14" ht="31.5">
      <c r="A61" s="1565"/>
      <c r="B61" s="1576" t="s">
        <v>932</v>
      </c>
      <c r="C61" s="1586">
        <v>5</v>
      </c>
      <c r="D61" s="1562"/>
      <c r="E61" s="1569">
        <v>2</v>
      </c>
      <c r="F61" s="1572">
        <v>58000000</v>
      </c>
      <c r="G61" s="1572">
        <f>E61*F61</f>
        <v>116000000</v>
      </c>
      <c r="H61" s="1595"/>
      <c r="I61" s="1596">
        <f t="shared" si="16"/>
        <v>116000000</v>
      </c>
      <c r="J61" s="1596">
        <v>116000000</v>
      </c>
      <c r="K61" s="1575"/>
      <c r="L61" s="1568">
        <f t="shared" si="9"/>
        <v>116000000</v>
      </c>
      <c r="M61" s="1564"/>
      <c r="N61" s="1559">
        <f t="shared" si="2"/>
        <v>0</v>
      </c>
    </row>
    <row r="62" spans="1:14" ht="31.5">
      <c r="A62" s="1569"/>
      <c r="B62" s="1576" t="s">
        <v>959</v>
      </c>
      <c r="C62" s="1586">
        <v>1</v>
      </c>
      <c r="D62" s="1571">
        <v>0</v>
      </c>
      <c r="E62" s="1569">
        <v>1</v>
      </c>
      <c r="F62" s="1572">
        <v>99850000</v>
      </c>
      <c r="G62" s="1572">
        <f>F62*E62</f>
        <v>99850000</v>
      </c>
      <c r="H62" s="1572"/>
      <c r="I62" s="1572">
        <f>G62+H62</f>
        <v>99850000</v>
      </c>
      <c r="J62" s="1572"/>
      <c r="K62" s="1568">
        <f>I62</f>
        <v>99850000</v>
      </c>
      <c r="L62" s="1568">
        <f>J62+K62</f>
        <v>99850000</v>
      </c>
      <c r="M62" s="1564"/>
      <c r="N62" s="1559">
        <f>I62-L62</f>
        <v>0</v>
      </c>
    </row>
    <row r="63" spans="1:14" ht="31.5">
      <c r="A63" s="1569"/>
      <c r="B63" s="1576" t="s">
        <v>960</v>
      </c>
      <c r="C63" s="1586">
        <v>1</v>
      </c>
      <c r="D63" s="1571">
        <v>1</v>
      </c>
      <c r="E63" s="1569">
        <v>1</v>
      </c>
      <c r="F63" s="1572">
        <v>298000000</v>
      </c>
      <c r="G63" s="1572">
        <f>F63*E63</f>
        <v>298000000</v>
      </c>
      <c r="H63" s="1572"/>
      <c r="I63" s="1572">
        <f>G63+H63</f>
        <v>298000000</v>
      </c>
      <c r="J63" s="1572"/>
      <c r="K63" s="1568">
        <f>I63</f>
        <v>298000000</v>
      </c>
      <c r="L63" s="1568">
        <f>J63+K63</f>
        <v>298000000</v>
      </c>
      <c r="M63" s="1564"/>
      <c r="N63" s="1559">
        <f>I63-L63</f>
        <v>0</v>
      </c>
    </row>
    <row r="64" spans="1:14" ht="31.5">
      <c r="A64" s="1569"/>
      <c r="B64" s="1574" t="s">
        <v>961</v>
      </c>
      <c r="C64" s="1571"/>
      <c r="D64" s="1571"/>
      <c r="E64" s="1569"/>
      <c r="F64" s="1572"/>
      <c r="G64" s="1572"/>
      <c r="H64" s="1572">
        <v>500000000</v>
      </c>
      <c r="I64" s="1572">
        <f t="shared" si="16"/>
        <v>500000000</v>
      </c>
      <c r="J64" s="1572"/>
      <c r="K64" s="1568">
        <v>500000000</v>
      </c>
      <c r="L64" s="1568">
        <f t="shared" si="9"/>
        <v>500000000</v>
      </c>
      <c r="M64" s="1564"/>
      <c r="N64" s="1559">
        <f t="shared" si="2"/>
        <v>0</v>
      </c>
    </row>
    <row r="65" spans="1:14" ht="47.25">
      <c r="A65" s="1569"/>
      <c r="B65" s="1574" t="s">
        <v>962</v>
      </c>
      <c r="C65" s="1571"/>
      <c r="D65" s="1571"/>
      <c r="E65" s="1569"/>
      <c r="F65" s="1572"/>
      <c r="G65" s="1572"/>
      <c r="H65" s="1572">
        <v>653000000</v>
      </c>
      <c r="I65" s="1572">
        <f t="shared" si="16"/>
        <v>653000000</v>
      </c>
      <c r="J65" s="1572"/>
      <c r="K65" s="1568">
        <f>I65</f>
        <v>653000000</v>
      </c>
      <c r="L65" s="1568">
        <f t="shared" si="9"/>
        <v>653000000</v>
      </c>
      <c r="M65" s="1564"/>
      <c r="N65" s="1559">
        <f t="shared" si="2"/>
        <v>0</v>
      </c>
    </row>
    <row r="66" spans="1:14" ht="31.5">
      <c r="A66" s="1565">
        <v>8</v>
      </c>
      <c r="B66" s="1566" t="s">
        <v>767</v>
      </c>
      <c r="C66" s="1562"/>
      <c r="D66" s="1562"/>
      <c r="E66" s="1565"/>
      <c r="F66" s="1567"/>
      <c r="G66" s="1567">
        <f t="shared" ref="G66:L66" si="17">SUM(G67:G71)</f>
        <v>586080000</v>
      </c>
      <c r="H66" s="1567">
        <f t="shared" si="17"/>
        <v>1178199000</v>
      </c>
      <c r="I66" s="1567">
        <f t="shared" si="17"/>
        <v>1764279000</v>
      </c>
      <c r="J66" s="1567">
        <f t="shared" si="17"/>
        <v>0</v>
      </c>
      <c r="K66" s="1567">
        <f t="shared" si="17"/>
        <v>1764279000</v>
      </c>
      <c r="L66" s="1567">
        <f t="shared" si="17"/>
        <v>1764279000</v>
      </c>
      <c r="M66" s="1564"/>
      <c r="N66" s="1559">
        <f t="shared" si="2"/>
        <v>0</v>
      </c>
    </row>
    <row r="67" spans="1:14" ht="29.25" customHeight="1">
      <c r="A67" s="1569"/>
      <c r="B67" s="1576" t="s">
        <v>963</v>
      </c>
      <c r="C67" s="1586">
        <v>12</v>
      </c>
      <c r="D67" s="1571">
        <v>1</v>
      </c>
      <c r="E67" s="1569">
        <v>1</v>
      </c>
      <c r="F67" s="1572">
        <v>386880000</v>
      </c>
      <c r="G67" s="1572">
        <f>F67*E67</f>
        <v>386880000</v>
      </c>
      <c r="H67" s="1572"/>
      <c r="I67" s="1572">
        <f t="shared" ref="I67:I77" si="18">G67+H67</f>
        <v>386880000</v>
      </c>
      <c r="J67" s="1572"/>
      <c r="K67" s="1568">
        <f>I67</f>
        <v>386880000</v>
      </c>
      <c r="L67" s="1568">
        <f t="shared" ref="L67:L100" si="19">J67+K67</f>
        <v>386880000</v>
      </c>
      <c r="M67" s="1564"/>
      <c r="N67" s="1559">
        <f t="shared" si="2"/>
        <v>0</v>
      </c>
    </row>
    <row r="68" spans="1:14" ht="31.5">
      <c r="A68" s="1569"/>
      <c r="B68" s="1576" t="s">
        <v>964</v>
      </c>
      <c r="C68" s="1586">
        <v>17</v>
      </c>
      <c r="D68" s="1571">
        <v>1</v>
      </c>
      <c r="E68" s="1569">
        <v>2</v>
      </c>
      <c r="F68" s="1572">
        <v>34650000</v>
      </c>
      <c r="G68" s="1572">
        <f>F68*E68</f>
        <v>69300000</v>
      </c>
      <c r="H68" s="1572"/>
      <c r="I68" s="1572">
        <f t="shared" si="18"/>
        <v>69300000</v>
      </c>
      <c r="J68" s="1572"/>
      <c r="K68" s="1568">
        <f>I68</f>
        <v>69300000</v>
      </c>
      <c r="L68" s="1568">
        <f t="shared" si="19"/>
        <v>69300000</v>
      </c>
      <c r="M68" s="1564"/>
      <c r="N68" s="1559">
        <f t="shared" si="2"/>
        <v>0</v>
      </c>
    </row>
    <row r="69" spans="1:14" ht="31.5">
      <c r="A69" s="1569"/>
      <c r="B69" s="1576" t="s">
        <v>965</v>
      </c>
      <c r="C69" s="1586" t="s">
        <v>966</v>
      </c>
      <c r="D69" s="1571">
        <v>8</v>
      </c>
      <c r="E69" s="1569">
        <v>3</v>
      </c>
      <c r="F69" s="1572">
        <v>43300000</v>
      </c>
      <c r="G69" s="1572">
        <f>F69*E69</f>
        <v>129900000</v>
      </c>
      <c r="H69" s="1572"/>
      <c r="I69" s="1572">
        <f t="shared" si="18"/>
        <v>129900000</v>
      </c>
      <c r="J69" s="1572"/>
      <c r="K69" s="1568">
        <f>I69</f>
        <v>129900000</v>
      </c>
      <c r="L69" s="1568">
        <f t="shared" si="19"/>
        <v>129900000</v>
      </c>
      <c r="M69" s="1564"/>
      <c r="N69" s="1559">
        <f t="shared" si="2"/>
        <v>0</v>
      </c>
    </row>
    <row r="70" spans="1:14" ht="31.5">
      <c r="A70" s="1569"/>
      <c r="B70" s="1574" t="s">
        <v>967</v>
      </c>
      <c r="C70" s="1571"/>
      <c r="D70" s="1571"/>
      <c r="E70" s="1569"/>
      <c r="F70" s="1572"/>
      <c r="G70" s="1572"/>
      <c r="H70" s="1572">
        <v>800000000</v>
      </c>
      <c r="I70" s="1572">
        <f t="shared" si="18"/>
        <v>800000000</v>
      </c>
      <c r="J70" s="1572"/>
      <c r="K70" s="1568">
        <v>800000000</v>
      </c>
      <c r="L70" s="1568">
        <f t="shared" si="19"/>
        <v>800000000</v>
      </c>
      <c r="M70" s="1564"/>
      <c r="N70" s="1559">
        <f t="shared" si="2"/>
        <v>0</v>
      </c>
    </row>
    <row r="71" spans="1:14" ht="31.5">
      <c r="A71" s="1569"/>
      <c r="B71" s="1574" t="s">
        <v>968</v>
      </c>
      <c r="C71" s="1571"/>
      <c r="D71" s="1571"/>
      <c r="E71" s="1569"/>
      <c r="F71" s="1572"/>
      <c r="G71" s="1572"/>
      <c r="H71" s="1572">
        <v>378199000</v>
      </c>
      <c r="I71" s="1572">
        <f t="shared" si="18"/>
        <v>378199000</v>
      </c>
      <c r="J71" s="1572"/>
      <c r="K71" s="1568">
        <f>I71</f>
        <v>378199000</v>
      </c>
      <c r="L71" s="1568">
        <f t="shared" si="19"/>
        <v>378199000</v>
      </c>
      <c r="M71" s="1564"/>
      <c r="N71" s="1559">
        <f t="shared" si="2"/>
        <v>0</v>
      </c>
    </row>
    <row r="72" spans="1:14" ht="31.5">
      <c r="A72" s="1565">
        <v>9</v>
      </c>
      <c r="B72" s="1566" t="s">
        <v>735</v>
      </c>
      <c r="C72" s="1562"/>
      <c r="D72" s="1562"/>
      <c r="E72" s="1565"/>
      <c r="F72" s="1567"/>
      <c r="G72" s="1567">
        <f t="shared" ref="G72:L72" si="20">SUM(G73:G77)</f>
        <v>255400000</v>
      </c>
      <c r="H72" s="1567">
        <f t="shared" si="20"/>
        <v>1099248182</v>
      </c>
      <c r="I72" s="1567">
        <f t="shared" si="20"/>
        <v>1354648182</v>
      </c>
      <c r="J72" s="1567">
        <f t="shared" si="20"/>
        <v>255400000</v>
      </c>
      <c r="K72" s="1567">
        <f t="shared" si="20"/>
        <v>1099248182</v>
      </c>
      <c r="L72" s="1567">
        <f t="shared" si="20"/>
        <v>1354648182</v>
      </c>
      <c r="M72" s="1564"/>
      <c r="N72" s="1559">
        <f t="shared" si="2"/>
        <v>0</v>
      </c>
    </row>
    <row r="73" spans="1:14">
      <c r="A73" s="1565"/>
      <c r="B73" s="1597" t="s">
        <v>969</v>
      </c>
      <c r="C73" s="1586">
        <v>4</v>
      </c>
      <c r="D73" s="1562"/>
      <c r="E73" s="1598">
        <v>1</v>
      </c>
      <c r="F73" s="1572">
        <v>100000000</v>
      </c>
      <c r="G73" s="1572">
        <f>F73*E73</f>
        <v>100000000</v>
      </c>
      <c r="H73" s="1567"/>
      <c r="I73" s="1572">
        <f>H73+G73</f>
        <v>100000000</v>
      </c>
      <c r="J73" s="1572">
        <v>100000000</v>
      </c>
      <c r="K73" s="1568"/>
      <c r="L73" s="1568">
        <f t="shared" si="19"/>
        <v>100000000</v>
      </c>
      <c r="M73" s="1564"/>
      <c r="N73" s="1559">
        <f t="shared" ref="N73:N101" si="21">I73-L73</f>
        <v>0</v>
      </c>
    </row>
    <row r="74" spans="1:14">
      <c r="A74" s="1565"/>
      <c r="B74" s="1597" t="s">
        <v>970</v>
      </c>
      <c r="C74" s="1586">
        <v>17</v>
      </c>
      <c r="D74" s="1562"/>
      <c r="E74" s="1598">
        <v>3</v>
      </c>
      <c r="F74" s="1572">
        <v>1800000</v>
      </c>
      <c r="G74" s="1572">
        <f>F74*E74</f>
        <v>5400000</v>
      </c>
      <c r="H74" s="1567"/>
      <c r="I74" s="1572">
        <f>H74+G74</f>
        <v>5400000</v>
      </c>
      <c r="J74" s="1572">
        <v>5400000</v>
      </c>
      <c r="K74" s="1568"/>
      <c r="L74" s="1568">
        <f t="shared" si="19"/>
        <v>5400000</v>
      </c>
      <c r="M74" s="1564"/>
      <c r="N74" s="1559">
        <f t="shared" si="21"/>
        <v>0</v>
      </c>
    </row>
    <row r="75" spans="1:14" ht="31.5">
      <c r="A75" s="1565"/>
      <c r="B75" s="1597" t="s">
        <v>971</v>
      </c>
      <c r="C75" s="1586">
        <v>1</v>
      </c>
      <c r="D75" s="1562"/>
      <c r="E75" s="1565">
        <v>1</v>
      </c>
      <c r="F75" s="1572">
        <v>150000000</v>
      </c>
      <c r="G75" s="1572">
        <f>F75*E75</f>
        <v>150000000</v>
      </c>
      <c r="H75" s="1567"/>
      <c r="I75" s="1572">
        <f>H75+G75</f>
        <v>150000000</v>
      </c>
      <c r="J75" s="1572">
        <v>150000000</v>
      </c>
      <c r="K75" s="1568"/>
      <c r="L75" s="1568">
        <f t="shared" si="19"/>
        <v>150000000</v>
      </c>
      <c r="M75" s="1564"/>
      <c r="N75" s="1559">
        <f t="shared" si="21"/>
        <v>0</v>
      </c>
    </row>
    <row r="76" spans="1:14" ht="141.75">
      <c r="A76" s="1569"/>
      <c r="B76" s="1599" t="s">
        <v>972</v>
      </c>
      <c r="C76" s="1600"/>
      <c r="D76" s="1600"/>
      <c r="E76" s="1598"/>
      <c r="F76" s="1572"/>
      <c r="G76" s="1572"/>
      <c r="H76" s="1572">
        <v>895563182</v>
      </c>
      <c r="I76" s="1572">
        <f t="shared" si="18"/>
        <v>895563182</v>
      </c>
      <c r="J76" s="1572"/>
      <c r="K76" s="1568">
        <f>H76</f>
        <v>895563182</v>
      </c>
      <c r="L76" s="1568">
        <f t="shared" si="19"/>
        <v>895563182</v>
      </c>
      <c r="M76" s="1564"/>
      <c r="N76" s="1559">
        <f t="shared" si="21"/>
        <v>0</v>
      </c>
    </row>
    <row r="77" spans="1:14">
      <c r="A77" s="1569"/>
      <c r="B77" s="1599" t="s">
        <v>973</v>
      </c>
      <c r="C77" s="1600"/>
      <c r="D77" s="1600"/>
      <c r="E77" s="1598"/>
      <c r="F77" s="1572"/>
      <c r="G77" s="1572"/>
      <c r="H77" s="1572">
        <v>203685000</v>
      </c>
      <c r="I77" s="1572">
        <f t="shared" si="18"/>
        <v>203685000</v>
      </c>
      <c r="J77" s="1572"/>
      <c r="K77" s="1568">
        <f>I77</f>
        <v>203685000</v>
      </c>
      <c r="L77" s="1568">
        <f t="shared" si="19"/>
        <v>203685000</v>
      </c>
      <c r="M77" s="1564"/>
      <c r="N77" s="1559">
        <f t="shared" si="21"/>
        <v>0</v>
      </c>
    </row>
    <row r="78" spans="1:14" ht="31.5">
      <c r="A78" s="1565">
        <v>10</v>
      </c>
      <c r="B78" s="1566" t="s">
        <v>730</v>
      </c>
      <c r="C78" s="1562"/>
      <c r="D78" s="1562"/>
      <c r="E78" s="1565"/>
      <c r="F78" s="1567"/>
      <c r="G78" s="1567">
        <f t="shared" ref="G78:L78" si="22">SUM(G79:G86)</f>
        <v>340000000</v>
      </c>
      <c r="H78" s="1567">
        <f t="shared" si="22"/>
        <v>900000000</v>
      </c>
      <c r="I78" s="1567">
        <f t="shared" si="22"/>
        <v>1240000000</v>
      </c>
      <c r="J78" s="1567">
        <f t="shared" si="22"/>
        <v>0</v>
      </c>
      <c r="K78" s="1567">
        <f t="shared" si="22"/>
        <v>1240000000</v>
      </c>
      <c r="L78" s="1567">
        <f t="shared" si="22"/>
        <v>1240000000</v>
      </c>
      <c r="M78" s="1564"/>
      <c r="N78" s="1559">
        <f t="shared" si="21"/>
        <v>0</v>
      </c>
    </row>
    <row r="79" spans="1:14">
      <c r="A79" s="1569"/>
      <c r="B79" s="1576" t="s">
        <v>924</v>
      </c>
      <c r="C79" s="1586">
        <v>2</v>
      </c>
      <c r="D79" s="1571">
        <v>1</v>
      </c>
      <c r="E79" s="1569">
        <v>1</v>
      </c>
      <c r="F79" s="1572">
        <v>170000000</v>
      </c>
      <c r="G79" s="1572">
        <f>F79*E79</f>
        <v>170000000</v>
      </c>
      <c r="H79" s="1572"/>
      <c r="I79" s="1572">
        <f t="shared" ref="I79:I86" si="23">G79+H79</f>
        <v>170000000</v>
      </c>
      <c r="J79" s="1572"/>
      <c r="K79" s="1568">
        <f>I79</f>
        <v>170000000</v>
      </c>
      <c r="L79" s="1568">
        <f t="shared" si="19"/>
        <v>170000000</v>
      </c>
      <c r="M79" s="1564"/>
      <c r="N79" s="1559">
        <f t="shared" si="21"/>
        <v>0</v>
      </c>
    </row>
    <row r="80" spans="1:14">
      <c r="A80" s="1569"/>
      <c r="B80" s="1601" t="s">
        <v>974</v>
      </c>
      <c r="C80" s="1586">
        <v>1</v>
      </c>
      <c r="D80" s="1571">
        <v>0</v>
      </c>
      <c r="E80" s="1569">
        <v>1</v>
      </c>
      <c r="F80" s="1572">
        <v>170000000</v>
      </c>
      <c r="G80" s="1572">
        <f>F80*E80</f>
        <v>170000000</v>
      </c>
      <c r="H80" s="1572"/>
      <c r="I80" s="1572">
        <f t="shared" si="23"/>
        <v>170000000</v>
      </c>
      <c r="J80" s="1572"/>
      <c r="K80" s="1568">
        <f t="shared" ref="K80:K86" si="24">I80</f>
        <v>170000000</v>
      </c>
      <c r="L80" s="1568">
        <f t="shared" si="19"/>
        <v>170000000</v>
      </c>
      <c r="M80" s="1564"/>
      <c r="N80" s="1559">
        <f t="shared" si="21"/>
        <v>0</v>
      </c>
    </row>
    <row r="81" spans="1:14" ht="47.25">
      <c r="A81" s="1569"/>
      <c r="B81" s="1574" t="s">
        <v>975</v>
      </c>
      <c r="C81" s="1571"/>
      <c r="D81" s="1571"/>
      <c r="E81" s="1569"/>
      <c r="F81" s="1572"/>
      <c r="G81" s="1572"/>
      <c r="H81" s="1572">
        <v>150000000</v>
      </c>
      <c r="I81" s="1572">
        <f t="shared" si="23"/>
        <v>150000000</v>
      </c>
      <c r="J81" s="1572"/>
      <c r="K81" s="1568">
        <f t="shared" si="24"/>
        <v>150000000</v>
      </c>
      <c r="L81" s="1568">
        <f t="shared" si="19"/>
        <v>150000000</v>
      </c>
      <c r="M81" s="1564"/>
      <c r="N81" s="1559">
        <f t="shared" si="21"/>
        <v>0</v>
      </c>
    </row>
    <row r="82" spans="1:14" ht="63">
      <c r="A82" s="1569"/>
      <c r="B82" s="1574" t="s">
        <v>976</v>
      </c>
      <c r="C82" s="1571"/>
      <c r="D82" s="1571"/>
      <c r="E82" s="1569"/>
      <c r="F82" s="1572"/>
      <c r="G82" s="1572"/>
      <c r="H82" s="1572">
        <v>150000000</v>
      </c>
      <c r="I82" s="1572">
        <f t="shared" si="23"/>
        <v>150000000</v>
      </c>
      <c r="J82" s="1572"/>
      <c r="K82" s="1568">
        <f t="shared" si="24"/>
        <v>150000000</v>
      </c>
      <c r="L82" s="1568">
        <f t="shared" si="19"/>
        <v>150000000</v>
      </c>
      <c r="M82" s="1564"/>
      <c r="N82" s="1559">
        <f t="shared" si="21"/>
        <v>0</v>
      </c>
    </row>
    <row r="83" spans="1:14" ht="63">
      <c r="A83" s="1569"/>
      <c r="B83" s="1574" t="s">
        <v>977</v>
      </c>
      <c r="C83" s="1571"/>
      <c r="D83" s="1571"/>
      <c r="E83" s="1569"/>
      <c r="F83" s="1572"/>
      <c r="G83" s="1572"/>
      <c r="H83" s="1572">
        <v>150000000</v>
      </c>
      <c r="I83" s="1572">
        <f t="shared" si="23"/>
        <v>150000000</v>
      </c>
      <c r="J83" s="1572"/>
      <c r="K83" s="1568">
        <f t="shared" si="24"/>
        <v>150000000</v>
      </c>
      <c r="L83" s="1568">
        <f t="shared" si="19"/>
        <v>150000000</v>
      </c>
      <c r="M83" s="1564"/>
      <c r="N83" s="1559">
        <f t="shared" si="21"/>
        <v>0</v>
      </c>
    </row>
    <row r="84" spans="1:14" ht="66.75" customHeight="1">
      <c r="A84" s="1569"/>
      <c r="B84" s="1574" t="s">
        <v>978</v>
      </c>
      <c r="C84" s="1571"/>
      <c r="D84" s="1571"/>
      <c r="E84" s="1569"/>
      <c r="F84" s="1572"/>
      <c r="G84" s="1572"/>
      <c r="H84" s="1572">
        <v>150000000</v>
      </c>
      <c r="I84" s="1572">
        <f t="shared" si="23"/>
        <v>150000000</v>
      </c>
      <c r="J84" s="1572"/>
      <c r="K84" s="1568">
        <f t="shared" si="24"/>
        <v>150000000</v>
      </c>
      <c r="L84" s="1568">
        <f t="shared" si="19"/>
        <v>150000000</v>
      </c>
      <c r="M84" s="1564"/>
      <c r="N84" s="1559">
        <f t="shared" si="21"/>
        <v>0</v>
      </c>
    </row>
    <row r="85" spans="1:14" ht="63">
      <c r="A85" s="1569"/>
      <c r="B85" s="1574" t="s">
        <v>979</v>
      </c>
      <c r="C85" s="1571"/>
      <c r="D85" s="1571"/>
      <c r="E85" s="1569"/>
      <c r="F85" s="1572"/>
      <c r="G85" s="1572"/>
      <c r="H85" s="1572">
        <v>150000000</v>
      </c>
      <c r="I85" s="1572">
        <f t="shared" si="23"/>
        <v>150000000</v>
      </c>
      <c r="J85" s="1572"/>
      <c r="K85" s="1568">
        <f t="shared" si="24"/>
        <v>150000000</v>
      </c>
      <c r="L85" s="1568">
        <f t="shared" si="19"/>
        <v>150000000</v>
      </c>
      <c r="M85" s="1564"/>
      <c r="N85" s="1559">
        <f t="shared" si="21"/>
        <v>0</v>
      </c>
    </row>
    <row r="86" spans="1:14" ht="47.25">
      <c r="A86" s="1569"/>
      <c r="B86" s="1574" t="s">
        <v>980</v>
      </c>
      <c r="C86" s="1571"/>
      <c r="D86" s="1571"/>
      <c r="E86" s="1569"/>
      <c r="F86" s="1572"/>
      <c r="G86" s="1572"/>
      <c r="H86" s="1572">
        <v>150000000</v>
      </c>
      <c r="I86" s="1572">
        <f t="shared" si="23"/>
        <v>150000000</v>
      </c>
      <c r="J86" s="1572"/>
      <c r="K86" s="1568">
        <f t="shared" si="24"/>
        <v>150000000</v>
      </c>
      <c r="L86" s="1568">
        <f t="shared" si="19"/>
        <v>150000000</v>
      </c>
      <c r="M86" s="1564"/>
      <c r="N86" s="1559">
        <f t="shared" si="21"/>
        <v>0</v>
      </c>
    </row>
    <row r="87" spans="1:14" ht="33" customHeight="1">
      <c r="A87" s="1565">
        <v>11</v>
      </c>
      <c r="B87" s="1566" t="s">
        <v>738</v>
      </c>
      <c r="C87" s="1562"/>
      <c r="D87" s="1562"/>
      <c r="E87" s="1587">
        <f>SUM(E90:E92)</f>
        <v>0</v>
      </c>
      <c r="F87" s="1567">
        <f t="shared" ref="F87:L87" si="25">SUM(F88:F94)</f>
        <v>569651000</v>
      </c>
      <c r="G87" s="1567">
        <f t="shared" si="25"/>
        <v>569651000</v>
      </c>
      <c r="H87" s="1567">
        <f t="shared" si="25"/>
        <v>2361570000</v>
      </c>
      <c r="I87" s="1567">
        <f t="shared" si="25"/>
        <v>2931221000</v>
      </c>
      <c r="J87" s="1567">
        <f t="shared" si="25"/>
        <v>1145000000</v>
      </c>
      <c r="K87" s="1567">
        <f t="shared" si="25"/>
        <v>1786221000</v>
      </c>
      <c r="L87" s="1567">
        <f t="shared" si="25"/>
        <v>2931221000</v>
      </c>
      <c r="M87" s="1564"/>
      <c r="N87" s="1559">
        <f t="shared" si="21"/>
        <v>0</v>
      </c>
    </row>
    <row r="88" spans="1:14" ht="33" customHeight="1">
      <c r="A88" s="1565"/>
      <c r="B88" s="1574" t="s">
        <v>981</v>
      </c>
      <c r="C88" s="1562"/>
      <c r="D88" s="1562"/>
      <c r="E88" s="1587"/>
      <c r="F88" s="1567"/>
      <c r="G88" s="1567"/>
      <c r="H88" s="1572">
        <v>595000000</v>
      </c>
      <c r="I88" s="1572">
        <f t="shared" ref="I88:I94" si="26">H88+G88</f>
        <v>595000000</v>
      </c>
      <c r="J88" s="1572">
        <f>548000000+32000000+15000000</f>
        <v>595000000</v>
      </c>
      <c r="K88" s="1575"/>
      <c r="L88" s="1568">
        <f t="shared" si="19"/>
        <v>595000000</v>
      </c>
      <c r="M88" s="1564" t="s">
        <v>982</v>
      </c>
      <c r="N88" s="1559">
        <f t="shared" si="21"/>
        <v>0</v>
      </c>
    </row>
    <row r="89" spans="1:14" ht="33" customHeight="1">
      <c r="A89" s="1565"/>
      <c r="B89" s="1574" t="s">
        <v>983</v>
      </c>
      <c r="C89" s="1562"/>
      <c r="D89" s="1562"/>
      <c r="E89" s="1587"/>
      <c r="F89" s="1567"/>
      <c r="G89" s="1567"/>
      <c r="H89" s="1572">
        <v>550000000</v>
      </c>
      <c r="I89" s="1572">
        <f t="shared" si="26"/>
        <v>550000000</v>
      </c>
      <c r="J89" s="1572">
        <f>508000000+30000000+12000000</f>
        <v>550000000</v>
      </c>
      <c r="K89" s="1575"/>
      <c r="L89" s="1568">
        <f t="shared" si="19"/>
        <v>550000000</v>
      </c>
      <c r="M89" s="1564" t="s">
        <v>984</v>
      </c>
      <c r="N89" s="1559">
        <f t="shared" si="21"/>
        <v>0</v>
      </c>
    </row>
    <row r="90" spans="1:14" ht="24" customHeight="1">
      <c r="A90" s="1569"/>
      <c r="B90" s="1574" t="s">
        <v>985</v>
      </c>
      <c r="C90" s="1571"/>
      <c r="D90" s="1571"/>
      <c r="E90" s="1569"/>
      <c r="F90" s="1572"/>
      <c r="G90" s="1572"/>
      <c r="H90" s="1572">
        <v>735000000</v>
      </c>
      <c r="I90" s="1572">
        <f t="shared" si="26"/>
        <v>735000000</v>
      </c>
      <c r="J90" s="1572"/>
      <c r="K90" s="1568">
        <f>I90</f>
        <v>735000000</v>
      </c>
      <c r="L90" s="1568">
        <f t="shared" si="19"/>
        <v>735000000</v>
      </c>
      <c r="M90" s="1564"/>
      <c r="N90" s="1559">
        <f t="shared" si="21"/>
        <v>0</v>
      </c>
    </row>
    <row r="91" spans="1:14" ht="47.25">
      <c r="A91" s="1569"/>
      <c r="B91" s="1574" t="s">
        <v>986</v>
      </c>
      <c r="C91" s="1571"/>
      <c r="D91" s="1571"/>
      <c r="E91" s="1569"/>
      <c r="F91" s="1572"/>
      <c r="G91" s="1572"/>
      <c r="H91" s="1572">
        <v>285000000</v>
      </c>
      <c r="I91" s="1572">
        <f t="shared" si="26"/>
        <v>285000000</v>
      </c>
      <c r="J91" s="1572"/>
      <c r="K91" s="1568">
        <f>I91</f>
        <v>285000000</v>
      </c>
      <c r="L91" s="1568">
        <f t="shared" si="19"/>
        <v>285000000</v>
      </c>
      <c r="M91" s="1564"/>
      <c r="N91" s="1559">
        <f t="shared" si="21"/>
        <v>0</v>
      </c>
    </row>
    <row r="92" spans="1:14" ht="31.5">
      <c r="A92" s="1569"/>
      <c r="B92" s="1574" t="s">
        <v>987</v>
      </c>
      <c r="C92" s="1571"/>
      <c r="D92" s="1571"/>
      <c r="E92" s="1569"/>
      <c r="F92" s="1572"/>
      <c r="G92" s="1572"/>
      <c r="H92" s="1572">
        <v>196570000</v>
      </c>
      <c r="I92" s="1596">
        <f t="shared" si="26"/>
        <v>196570000</v>
      </c>
      <c r="J92" s="1596"/>
      <c r="K92" s="1568">
        <f>I92</f>
        <v>196570000</v>
      </c>
      <c r="L92" s="1568">
        <f t="shared" si="19"/>
        <v>196570000</v>
      </c>
      <c r="M92" s="1564"/>
      <c r="N92" s="1559">
        <f t="shared" si="21"/>
        <v>0</v>
      </c>
    </row>
    <row r="93" spans="1:14" ht="33" customHeight="1">
      <c r="A93" s="1569"/>
      <c r="B93" s="1576" t="s">
        <v>988</v>
      </c>
      <c r="C93" s="1602" t="s">
        <v>989</v>
      </c>
      <c r="D93" s="1603" t="s">
        <v>990</v>
      </c>
      <c r="E93" s="1569">
        <v>1</v>
      </c>
      <c r="F93" s="1572">
        <v>215851000</v>
      </c>
      <c r="G93" s="1572">
        <f>F93*E93</f>
        <v>215851000</v>
      </c>
      <c r="H93" s="1572"/>
      <c r="I93" s="1572">
        <f t="shared" si="26"/>
        <v>215851000</v>
      </c>
      <c r="J93" s="1572"/>
      <c r="K93" s="1573">
        <f>I93</f>
        <v>215851000</v>
      </c>
      <c r="L93" s="1568">
        <f t="shared" si="19"/>
        <v>215851000</v>
      </c>
      <c r="M93" s="1564" t="s">
        <v>991</v>
      </c>
      <c r="N93" s="1559">
        <f t="shared" si="21"/>
        <v>0</v>
      </c>
    </row>
    <row r="94" spans="1:14" ht="28.5" customHeight="1">
      <c r="A94" s="1569"/>
      <c r="B94" s="1576" t="s">
        <v>992</v>
      </c>
      <c r="C94" s="1602" t="s">
        <v>993</v>
      </c>
      <c r="D94" s="1603" t="s">
        <v>993</v>
      </c>
      <c r="E94" s="1569">
        <v>1</v>
      </c>
      <c r="F94" s="1572">
        <v>353800000</v>
      </c>
      <c r="G94" s="1572">
        <f>F94*E94</f>
        <v>353800000</v>
      </c>
      <c r="H94" s="1572"/>
      <c r="I94" s="1572">
        <f t="shared" si="26"/>
        <v>353800000</v>
      </c>
      <c r="J94" s="1572"/>
      <c r="K94" s="1568">
        <f>I94</f>
        <v>353800000</v>
      </c>
      <c r="L94" s="1568">
        <f t="shared" si="19"/>
        <v>353800000</v>
      </c>
      <c r="M94" s="1564" t="s">
        <v>994</v>
      </c>
      <c r="N94" s="1559">
        <f t="shared" si="21"/>
        <v>0</v>
      </c>
    </row>
    <row r="95" spans="1:14" ht="26.25" customHeight="1">
      <c r="A95" s="1565">
        <v>12</v>
      </c>
      <c r="B95" s="1566" t="s">
        <v>736</v>
      </c>
      <c r="C95" s="1587">
        <f>SUM(C97:C100)</f>
        <v>2</v>
      </c>
      <c r="D95" s="1587">
        <f>SUM(D97:D100)</f>
        <v>2</v>
      </c>
      <c r="E95" s="1587">
        <f>SUM(E97:E100)</f>
        <v>1</v>
      </c>
      <c r="F95" s="1567">
        <f>SUM(F97:F100)</f>
        <v>540000000</v>
      </c>
      <c r="G95" s="1567">
        <f>SUM(G97:G100)</f>
        <v>540000000</v>
      </c>
      <c r="H95" s="1567">
        <f>SUM(H96:H100)</f>
        <v>2519000000</v>
      </c>
      <c r="I95" s="1567">
        <f>SUM(I96:I100)</f>
        <v>3059000000</v>
      </c>
      <c r="J95" s="1567">
        <f>SUM(J96:J100)</f>
        <v>1049000000</v>
      </c>
      <c r="K95" s="1567">
        <f>SUM(K96:K100)</f>
        <v>2010000000</v>
      </c>
      <c r="L95" s="1567">
        <f>SUM(L96:L100)</f>
        <v>3059000000</v>
      </c>
      <c r="M95" s="1564"/>
      <c r="N95" s="1559">
        <f t="shared" si="21"/>
        <v>0</v>
      </c>
    </row>
    <row r="96" spans="1:14" ht="36.75" customHeight="1">
      <c r="A96" s="1565"/>
      <c r="B96" s="1574" t="s">
        <v>995</v>
      </c>
      <c r="C96" s="1587"/>
      <c r="D96" s="1587"/>
      <c r="E96" s="1587"/>
      <c r="F96" s="1567"/>
      <c r="G96" s="1567"/>
      <c r="H96" s="1572">
        <v>1049000000</v>
      </c>
      <c r="I96" s="1572">
        <f>H96+G96</f>
        <v>1049000000</v>
      </c>
      <c r="J96" s="1572">
        <f>972000000+59000000+18000000</f>
        <v>1049000000</v>
      </c>
      <c r="K96" s="1575"/>
      <c r="L96" s="1568">
        <f t="shared" si="19"/>
        <v>1049000000</v>
      </c>
      <c r="M96" s="1564" t="s">
        <v>996</v>
      </c>
      <c r="N96" s="1559">
        <f t="shared" si="21"/>
        <v>0</v>
      </c>
    </row>
    <row r="97" spans="1:14" ht="51" customHeight="1">
      <c r="A97" s="1569"/>
      <c r="B97" s="1574" t="s">
        <v>997</v>
      </c>
      <c r="C97" s="1571"/>
      <c r="D97" s="1571"/>
      <c r="E97" s="1569"/>
      <c r="F97" s="1572"/>
      <c r="G97" s="1572"/>
      <c r="H97" s="1572">
        <v>850000000</v>
      </c>
      <c r="I97" s="1572">
        <f>H97</f>
        <v>850000000</v>
      </c>
      <c r="J97" s="1572"/>
      <c r="K97" s="1572">
        <f>I97</f>
        <v>850000000</v>
      </c>
      <c r="L97" s="1568">
        <f t="shared" si="19"/>
        <v>850000000</v>
      </c>
      <c r="M97" s="1564"/>
      <c r="N97" s="1559">
        <f t="shared" si="21"/>
        <v>0</v>
      </c>
    </row>
    <row r="98" spans="1:14" ht="42" customHeight="1">
      <c r="A98" s="1569"/>
      <c r="B98" s="1574" t="s">
        <v>998</v>
      </c>
      <c r="C98" s="1571"/>
      <c r="D98" s="1571"/>
      <c r="E98" s="1569"/>
      <c r="F98" s="1572"/>
      <c r="G98" s="1572"/>
      <c r="H98" s="1572">
        <v>120000000</v>
      </c>
      <c r="I98" s="1572">
        <f>H98</f>
        <v>120000000</v>
      </c>
      <c r="J98" s="1572"/>
      <c r="K98" s="1572">
        <f>I98</f>
        <v>120000000</v>
      </c>
      <c r="L98" s="1568">
        <f t="shared" si="19"/>
        <v>120000000</v>
      </c>
      <c r="M98" s="1564"/>
      <c r="N98" s="1559">
        <f t="shared" si="21"/>
        <v>0</v>
      </c>
    </row>
    <row r="99" spans="1:14" ht="26.25" customHeight="1">
      <c r="A99" s="1569"/>
      <c r="B99" s="1574" t="s">
        <v>999</v>
      </c>
      <c r="C99" s="1571"/>
      <c r="D99" s="1571"/>
      <c r="E99" s="1569"/>
      <c r="F99" s="1572"/>
      <c r="G99" s="1572"/>
      <c r="H99" s="1572">
        <v>500000000</v>
      </c>
      <c r="I99" s="1572">
        <f>H99</f>
        <v>500000000</v>
      </c>
      <c r="J99" s="1572"/>
      <c r="K99" s="1572">
        <v>500000000</v>
      </c>
      <c r="L99" s="1568">
        <f t="shared" si="19"/>
        <v>500000000</v>
      </c>
      <c r="M99" s="1564" t="s">
        <v>1000</v>
      </c>
      <c r="N99" s="1559">
        <f t="shared" si="21"/>
        <v>0</v>
      </c>
    </row>
    <row r="100" spans="1:14" ht="26.25" customHeight="1">
      <c r="A100" s="1569"/>
      <c r="B100" s="1576" t="s">
        <v>1001</v>
      </c>
      <c r="C100" s="1586">
        <v>2</v>
      </c>
      <c r="D100" s="1571">
        <v>2</v>
      </c>
      <c r="E100" s="1569">
        <v>1</v>
      </c>
      <c r="F100" s="1572">
        <v>540000000</v>
      </c>
      <c r="G100" s="1572">
        <f>F100*E100</f>
        <v>540000000</v>
      </c>
      <c r="H100" s="1572"/>
      <c r="I100" s="1572">
        <f>G100+H100</f>
        <v>540000000</v>
      </c>
      <c r="J100" s="1572"/>
      <c r="K100" s="1573">
        <f>I100</f>
        <v>540000000</v>
      </c>
      <c r="L100" s="1568">
        <f t="shared" si="19"/>
        <v>540000000</v>
      </c>
      <c r="M100" s="1564" t="s">
        <v>1002</v>
      </c>
      <c r="N100" s="1559">
        <f t="shared" si="21"/>
        <v>0</v>
      </c>
    </row>
    <row r="101" spans="1:14">
      <c r="A101" s="1944" t="s">
        <v>1003</v>
      </c>
      <c r="B101" s="1944"/>
      <c r="C101" s="1944"/>
      <c r="D101" s="1944"/>
      <c r="E101" s="1565"/>
      <c r="F101" s="1590"/>
      <c r="G101" s="1567">
        <f t="shared" ref="G101:L101" si="27">G27+G7</f>
        <v>8224372000</v>
      </c>
      <c r="H101" s="1567">
        <f t="shared" si="27"/>
        <v>21221628000</v>
      </c>
      <c r="I101" s="1567">
        <f t="shared" si="27"/>
        <v>29446000000</v>
      </c>
      <c r="J101" s="1567">
        <f t="shared" si="27"/>
        <v>6921953000</v>
      </c>
      <c r="K101" s="1567">
        <f t="shared" si="27"/>
        <v>22524047000</v>
      </c>
      <c r="L101" s="1567">
        <f t="shared" si="27"/>
        <v>29446000000</v>
      </c>
      <c r="M101" s="1564"/>
      <c r="N101" s="1559">
        <f t="shared" si="21"/>
        <v>0</v>
      </c>
    </row>
    <row r="102" spans="1:14">
      <c r="A102" s="1949"/>
      <c r="B102" s="1949"/>
      <c r="C102" s="1551"/>
      <c r="D102" s="1551"/>
      <c r="E102" s="1604"/>
      <c r="F102" s="1556"/>
      <c r="G102" s="1950"/>
      <c r="H102" s="1950"/>
      <c r="I102" s="1605"/>
      <c r="J102" s="1605"/>
    </row>
    <row r="103" spans="1:14">
      <c r="A103" s="1551"/>
      <c r="B103" s="1551"/>
      <c r="C103" s="1551"/>
      <c r="D103" s="1551"/>
      <c r="E103" s="1604"/>
      <c r="F103" s="1556"/>
      <c r="K103" s="1559"/>
    </row>
    <row r="104" spans="1:14">
      <c r="A104" s="1551"/>
      <c r="B104" s="1551" t="s">
        <v>813</v>
      </c>
      <c r="C104" s="1939">
        <f>C105+C106</f>
        <v>29446000000</v>
      </c>
      <c r="D104" s="1939"/>
      <c r="E104" s="1554" t="s">
        <v>1004</v>
      </c>
      <c r="F104" s="1555"/>
      <c r="K104" s="1559"/>
    </row>
    <row r="105" spans="1:14">
      <c r="A105" s="1551"/>
      <c r="B105" s="1554" t="s">
        <v>754</v>
      </c>
      <c r="C105" s="1940">
        <v>6261000000</v>
      </c>
      <c r="D105" s="1940"/>
      <c r="E105" s="1554" t="s">
        <v>1004</v>
      </c>
      <c r="F105" s="1555"/>
    </row>
    <row r="106" spans="1:14">
      <c r="A106" s="1551"/>
      <c r="B106" s="1554" t="s">
        <v>826</v>
      </c>
      <c r="C106" s="1941">
        <v>23185000000</v>
      </c>
      <c r="D106" s="1941"/>
      <c r="E106" s="1554" t="s">
        <v>1004</v>
      </c>
      <c r="F106" s="1555"/>
      <c r="J106" s="1559"/>
    </row>
    <row r="107" spans="1:14">
      <c r="A107" s="1551"/>
      <c r="B107" s="1551"/>
      <c r="D107" s="1606"/>
      <c r="E107" s="1554"/>
      <c r="F107" s="1555"/>
    </row>
    <row r="108" spans="1:14">
      <c r="A108" s="1604"/>
      <c r="B108" s="1607" t="s">
        <v>1005</v>
      </c>
      <c r="C108" s="1942">
        <f>J101</f>
        <v>6921953000</v>
      </c>
      <c r="D108" s="1942"/>
      <c r="E108" s="1551" t="str">
        <f>E106</f>
        <v>đồng</v>
      </c>
      <c r="F108" s="1555"/>
    </row>
    <row r="109" spans="1:14">
      <c r="A109" s="1604"/>
      <c r="B109" s="1607" t="s">
        <v>1006</v>
      </c>
      <c r="C109" s="1943">
        <f>C110+C111</f>
        <v>22524047000</v>
      </c>
      <c r="D109" s="1943"/>
      <c r="E109" s="1608" t="str">
        <f>E110</f>
        <v>đồng</v>
      </c>
      <c r="F109" s="1555"/>
    </row>
    <row r="110" spans="1:14">
      <c r="A110" s="1604"/>
      <c r="B110" s="1554" t="s">
        <v>754</v>
      </c>
      <c r="C110" s="1938">
        <f>C105</f>
        <v>6261000000</v>
      </c>
      <c r="D110" s="1938"/>
      <c r="E110" s="1554" t="str">
        <f>E108</f>
        <v>đồng</v>
      </c>
      <c r="F110" s="1555"/>
    </row>
    <row r="111" spans="1:14">
      <c r="A111" s="1604"/>
      <c r="B111" s="1554" t="s">
        <v>826</v>
      </c>
      <c r="C111" s="1938">
        <f>C106-C108</f>
        <v>16263047000</v>
      </c>
      <c r="D111" s="1938"/>
      <c r="E111" s="1554" t="str">
        <f>E110</f>
        <v>đồng</v>
      </c>
      <c r="F111" s="1555"/>
    </row>
    <row r="112" spans="1:14">
      <c r="A112" s="1604"/>
      <c r="B112" s="1552"/>
      <c r="C112" s="1606"/>
      <c r="D112" s="1606"/>
      <c r="E112" s="1554"/>
      <c r="F112" s="1555"/>
    </row>
    <row r="113" spans="1:6">
      <c r="A113" s="1604"/>
      <c r="B113" s="1607"/>
      <c r="C113" s="1609"/>
      <c r="D113" s="1609"/>
      <c r="E113" s="1554"/>
      <c r="F113" s="1555"/>
    </row>
    <row r="114" spans="1:6">
      <c r="B114" s="1610"/>
      <c r="C114" s="1611"/>
      <c r="D114" s="1611"/>
      <c r="E114" s="1612"/>
      <c r="F114" s="1610"/>
    </row>
    <row r="115" spans="1:6">
      <c r="C115" s="1613"/>
      <c r="D115" s="1613"/>
    </row>
  </sheetData>
  <mergeCells count="21">
    <mergeCell ref="A102:B102"/>
    <mergeCell ref="G102:H102"/>
    <mergeCell ref="A2:I2"/>
    <mergeCell ref="A3:I3"/>
    <mergeCell ref="A5:A6"/>
    <mergeCell ref="B5:B6"/>
    <mergeCell ref="C5:C6"/>
    <mergeCell ref="D5:D6"/>
    <mergeCell ref="E5:I5"/>
    <mergeCell ref="J5:J6"/>
    <mergeCell ref="K5:K6"/>
    <mergeCell ref="L5:L6"/>
    <mergeCell ref="M5:M6"/>
    <mergeCell ref="A101:D101"/>
    <mergeCell ref="C111:D111"/>
    <mergeCell ref="C104:D104"/>
    <mergeCell ref="C105:D105"/>
    <mergeCell ref="C106:D106"/>
    <mergeCell ref="C108:D108"/>
    <mergeCell ref="C109:D109"/>
    <mergeCell ref="C110:D110"/>
  </mergeCells>
  <pageMargins left="0.31496062992125984" right="0" top="0.55118110236220474" bottom="0.55118110236220474" header="0.31496062992125984" footer="0.31496062992125984"/>
  <pageSetup paperSize="9" scale="60" orientation="portrait" r:id="rId1"/>
  <headerFooter>
    <oddFooter>Page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152"/>
  <sheetViews>
    <sheetView workbookViewId="0">
      <pane xSplit="2" ySplit="5" topLeftCell="C36" activePane="bottomRight" state="frozen"/>
      <selection activeCell="A2" sqref="A2"/>
      <selection pane="topRight" activeCell="J2" sqref="J2"/>
      <selection pane="bottomLeft" activeCell="A9" sqref="A9"/>
      <selection pane="bottomRight" activeCell="B47" sqref="B47"/>
    </sheetView>
  </sheetViews>
  <sheetFormatPr defaultRowHeight="12.75"/>
  <cols>
    <col min="1" max="1" width="6.5703125" style="1494" customWidth="1"/>
    <col min="2" max="2" width="42.7109375" style="1491" customWidth="1"/>
    <col min="3" max="3" width="38.140625" style="1495" customWidth="1"/>
    <col min="4" max="4" width="14.85546875" style="1495" customWidth="1"/>
    <col min="5" max="5" width="15.5703125" style="1495" customWidth="1"/>
    <col min="6" max="6" width="15.140625" style="1487" hidden="1" customWidth="1"/>
    <col min="7" max="7" width="15.28515625" style="1489" customWidth="1"/>
    <col min="8" max="8" width="14.42578125" style="1487" customWidth="1"/>
    <col min="9" max="9" width="15.85546875" style="1487" customWidth="1"/>
    <col min="10" max="10" width="9.140625" style="1487" customWidth="1"/>
    <col min="11" max="11" width="13.5703125" style="1487" bestFit="1" customWidth="1"/>
    <col min="12" max="30" width="9.140625" style="1487"/>
    <col min="31" max="31" width="9.140625" style="1488"/>
    <col min="32" max="34" width="9.140625" style="1489"/>
    <col min="35" max="36" width="9.140625" style="1490"/>
    <col min="37" max="255" width="9.140625" style="1491"/>
    <col min="256" max="256" width="6.5703125" style="1491" customWidth="1"/>
    <col min="257" max="257" width="42.7109375" style="1491" customWidth="1"/>
    <col min="258" max="258" width="12.140625" style="1491" customWidth="1"/>
    <col min="259" max="259" width="14.85546875" style="1491" customWidth="1"/>
    <col min="260" max="260" width="13.140625" style="1491" customWidth="1"/>
    <col min="261" max="261" width="31.5703125" style="1491" customWidth="1"/>
    <col min="262" max="262" width="0" style="1491" hidden="1" customWidth="1"/>
    <col min="263" max="263" width="15.28515625" style="1491" customWidth="1"/>
    <col min="264" max="264" width="14.42578125" style="1491" customWidth="1"/>
    <col min="265" max="265" width="15.85546875" style="1491" customWidth="1"/>
    <col min="266" max="266" width="9.140625" style="1491" customWidth="1"/>
    <col min="267" max="267" width="13.5703125" style="1491" bestFit="1" customWidth="1"/>
    <col min="268" max="511" width="9.140625" style="1491"/>
    <col min="512" max="512" width="6.5703125" style="1491" customWidth="1"/>
    <col min="513" max="513" width="42.7109375" style="1491" customWidth="1"/>
    <col min="514" max="514" width="12.140625" style="1491" customWidth="1"/>
    <col min="515" max="515" width="14.85546875" style="1491" customWidth="1"/>
    <col min="516" max="516" width="13.140625" style="1491" customWidth="1"/>
    <col min="517" max="517" width="31.5703125" style="1491" customWidth="1"/>
    <col min="518" max="518" width="0" style="1491" hidden="1" customWidth="1"/>
    <col min="519" max="519" width="15.28515625" style="1491" customWidth="1"/>
    <col min="520" max="520" width="14.42578125" style="1491" customWidth="1"/>
    <col min="521" max="521" width="15.85546875" style="1491" customWidth="1"/>
    <col min="522" max="522" width="9.140625" style="1491" customWidth="1"/>
    <col min="523" max="523" width="13.5703125" style="1491" bestFit="1" customWidth="1"/>
    <col min="524" max="767" width="9.140625" style="1491"/>
    <col min="768" max="768" width="6.5703125" style="1491" customWidth="1"/>
    <col min="769" max="769" width="42.7109375" style="1491" customWidth="1"/>
    <col min="770" max="770" width="12.140625" style="1491" customWidth="1"/>
    <col min="771" max="771" width="14.85546875" style="1491" customWidth="1"/>
    <col min="772" max="772" width="13.140625" style="1491" customWidth="1"/>
    <col min="773" max="773" width="31.5703125" style="1491" customWidth="1"/>
    <col min="774" max="774" width="0" style="1491" hidden="1" customWidth="1"/>
    <col min="775" max="775" width="15.28515625" style="1491" customWidth="1"/>
    <col min="776" max="776" width="14.42578125" style="1491" customWidth="1"/>
    <col min="777" max="777" width="15.85546875" style="1491" customWidth="1"/>
    <col min="778" max="778" width="9.140625" style="1491" customWidth="1"/>
    <col min="779" max="779" width="13.5703125" style="1491" bestFit="1" customWidth="1"/>
    <col min="780" max="1023" width="9.140625" style="1491"/>
    <col min="1024" max="1024" width="6.5703125" style="1491" customWidth="1"/>
    <col min="1025" max="1025" width="42.7109375" style="1491" customWidth="1"/>
    <col min="1026" max="1026" width="12.140625" style="1491" customWidth="1"/>
    <col min="1027" max="1027" width="14.85546875" style="1491" customWidth="1"/>
    <col min="1028" max="1028" width="13.140625" style="1491" customWidth="1"/>
    <col min="1029" max="1029" width="31.5703125" style="1491" customWidth="1"/>
    <col min="1030" max="1030" width="0" style="1491" hidden="1" customWidth="1"/>
    <col min="1031" max="1031" width="15.28515625" style="1491" customWidth="1"/>
    <col min="1032" max="1032" width="14.42578125" style="1491" customWidth="1"/>
    <col min="1033" max="1033" width="15.85546875" style="1491" customWidth="1"/>
    <col min="1034" max="1034" width="9.140625" style="1491" customWidth="1"/>
    <col min="1035" max="1035" width="13.5703125" style="1491" bestFit="1" customWidth="1"/>
    <col min="1036" max="1279" width="9.140625" style="1491"/>
    <col min="1280" max="1280" width="6.5703125" style="1491" customWidth="1"/>
    <col min="1281" max="1281" width="42.7109375" style="1491" customWidth="1"/>
    <col min="1282" max="1282" width="12.140625" style="1491" customWidth="1"/>
    <col min="1283" max="1283" width="14.85546875" style="1491" customWidth="1"/>
    <col min="1284" max="1284" width="13.140625" style="1491" customWidth="1"/>
    <col min="1285" max="1285" width="31.5703125" style="1491" customWidth="1"/>
    <col min="1286" max="1286" width="0" style="1491" hidden="1" customWidth="1"/>
    <col min="1287" max="1287" width="15.28515625" style="1491" customWidth="1"/>
    <col min="1288" max="1288" width="14.42578125" style="1491" customWidth="1"/>
    <col min="1289" max="1289" width="15.85546875" style="1491" customWidth="1"/>
    <col min="1290" max="1290" width="9.140625" style="1491" customWidth="1"/>
    <col min="1291" max="1291" width="13.5703125" style="1491" bestFit="1" customWidth="1"/>
    <col min="1292" max="1535" width="9.140625" style="1491"/>
    <col min="1536" max="1536" width="6.5703125" style="1491" customWidth="1"/>
    <col min="1537" max="1537" width="42.7109375" style="1491" customWidth="1"/>
    <col min="1538" max="1538" width="12.140625" style="1491" customWidth="1"/>
    <col min="1539" max="1539" width="14.85546875" style="1491" customWidth="1"/>
    <col min="1540" max="1540" width="13.140625" style="1491" customWidth="1"/>
    <col min="1541" max="1541" width="31.5703125" style="1491" customWidth="1"/>
    <col min="1542" max="1542" width="0" style="1491" hidden="1" customWidth="1"/>
    <col min="1543" max="1543" width="15.28515625" style="1491" customWidth="1"/>
    <col min="1544" max="1544" width="14.42578125" style="1491" customWidth="1"/>
    <col min="1545" max="1545" width="15.85546875" style="1491" customWidth="1"/>
    <col min="1546" max="1546" width="9.140625" style="1491" customWidth="1"/>
    <col min="1547" max="1547" width="13.5703125" style="1491" bestFit="1" customWidth="1"/>
    <col min="1548" max="1791" width="9.140625" style="1491"/>
    <col min="1792" max="1792" width="6.5703125" style="1491" customWidth="1"/>
    <col min="1793" max="1793" width="42.7109375" style="1491" customWidth="1"/>
    <col min="1794" max="1794" width="12.140625" style="1491" customWidth="1"/>
    <col min="1795" max="1795" width="14.85546875" style="1491" customWidth="1"/>
    <col min="1796" max="1796" width="13.140625" style="1491" customWidth="1"/>
    <col min="1797" max="1797" width="31.5703125" style="1491" customWidth="1"/>
    <col min="1798" max="1798" width="0" style="1491" hidden="1" customWidth="1"/>
    <col min="1799" max="1799" width="15.28515625" style="1491" customWidth="1"/>
    <col min="1800" max="1800" width="14.42578125" style="1491" customWidth="1"/>
    <col min="1801" max="1801" width="15.85546875" style="1491" customWidth="1"/>
    <col min="1802" max="1802" width="9.140625" style="1491" customWidth="1"/>
    <col min="1803" max="1803" width="13.5703125" style="1491" bestFit="1" customWidth="1"/>
    <col min="1804" max="2047" width="9.140625" style="1491"/>
    <col min="2048" max="2048" width="6.5703125" style="1491" customWidth="1"/>
    <col min="2049" max="2049" width="42.7109375" style="1491" customWidth="1"/>
    <col min="2050" max="2050" width="12.140625" style="1491" customWidth="1"/>
    <col min="2051" max="2051" width="14.85546875" style="1491" customWidth="1"/>
    <col min="2052" max="2052" width="13.140625" style="1491" customWidth="1"/>
    <col min="2053" max="2053" width="31.5703125" style="1491" customWidth="1"/>
    <col min="2054" max="2054" width="0" style="1491" hidden="1" customWidth="1"/>
    <col min="2055" max="2055" width="15.28515625" style="1491" customWidth="1"/>
    <col min="2056" max="2056" width="14.42578125" style="1491" customWidth="1"/>
    <col min="2057" max="2057" width="15.85546875" style="1491" customWidth="1"/>
    <col min="2058" max="2058" width="9.140625" style="1491" customWidth="1"/>
    <col min="2059" max="2059" width="13.5703125" style="1491" bestFit="1" customWidth="1"/>
    <col min="2060" max="2303" width="9.140625" style="1491"/>
    <col min="2304" max="2304" width="6.5703125" style="1491" customWidth="1"/>
    <col min="2305" max="2305" width="42.7109375" style="1491" customWidth="1"/>
    <col min="2306" max="2306" width="12.140625" style="1491" customWidth="1"/>
    <col min="2307" max="2307" width="14.85546875" style="1491" customWidth="1"/>
    <col min="2308" max="2308" width="13.140625" style="1491" customWidth="1"/>
    <col min="2309" max="2309" width="31.5703125" style="1491" customWidth="1"/>
    <col min="2310" max="2310" width="0" style="1491" hidden="1" customWidth="1"/>
    <col min="2311" max="2311" width="15.28515625" style="1491" customWidth="1"/>
    <col min="2312" max="2312" width="14.42578125" style="1491" customWidth="1"/>
    <col min="2313" max="2313" width="15.85546875" style="1491" customWidth="1"/>
    <col min="2314" max="2314" width="9.140625" style="1491" customWidth="1"/>
    <col min="2315" max="2315" width="13.5703125" style="1491" bestFit="1" customWidth="1"/>
    <col min="2316" max="2559" width="9.140625" style="1491"/>
    <col min="2560" max="2560" width="6.5703125" style="1491" customWidth="1"/>
    <col min="2561" max="2561" width="42.7109375" style="1491" customWidth="1"/>
    <col min="2562" max="2562" width="12.140625" style="1491" customWidth="1"/>
    <col min="2563" max="2563" width="14.85546875" style="1491" customWidth="1"/>
    <col min="2564" max="2564" width="13.140625" style="1491" customWidth="1"/>
    <col min="2565" max="2565" width="31.5703125" style="1491" customWidth="1"/>
    <col min="2566" max="2566" width="0" style="1491" hidden="1" customWidth="1"/>
    <col min="2567" max="2567" width="15.28515625" style="1491" customWidth="1"/>
    <col min="2568" max="2568" width="14.42578125" style="1491" customWidth="1"/>
    <col min="2569" max="2569" width="15.85546875" style="1491" customWidth="1"/>
    <col min="2570" max="2570" width="9.140625" style="1491" customWidth="1"/>
    <col min="2571" max="2571" width="13.5703125" style="1491" bestFit="1" customWidth="1"/>
    <col min="2572" max="2815" width="9.140625" style="1491"/>
    <col min="2816" max="2816" width="6.5703125" style="1491" customWidth="1"/>
    <col min="2817" max="2817" width="42.7109375" style="1491" customWidth="1"/>
    <col min="2818" max="2818" width="12.140625" style="1491" customWidth="1"/>
    <col min="2819" max="2819" width="14.85546875" style="1491" customWidth="1"/>
    <col min="2820" max="2820" width="13.140625" style="1491" customWidth="1"/>
    <col min="2821" max="2821" width="31.5703125" style="1491" customWidth="1"/>
    <col min="2822" max="2822" width="0" style="1491" hidden="1" customWidth="1"/>
    <col min="2823" max="2823" width="15.28515625" style="1491" customWidth="1"/>
    <col min="2824" max="2824" width="14.42578125" style="1491" customWidth="1"/>
    <col min="2825" max="2825" width="15.85546875" style="1491" customWidth="1"/>
    <col min="2826" max="2826" width="9.140625" style="1491" customWidth="1"/>
    <col min="2827" max="2827" width="13.5703125" style="1491" bestFit="1" customWidth="1"/>
    <col min="2828" max="3071" width="9.140625" style="1491"/>
    <col min="3072" max="3072" width="6.5703125" style="1491" customWidth="1"/>
    <col min="3073" max="3073" width="42.7109375" style="1491" customWidth="1"/>
    <col min="3074" max="3074" width="12.140625" style="1491" customWidth="1"/>
    <col min="3075" max="3075" width="14.85546875" style="1491" customWidth="1"/>
    <col min="3076" max="3076" width="13.140625" style="1491" customWidth="1"/>
    <col min="3077" max="3077" width="31.5703125" style="1491" customWidth="1"/>
    <col min="3078" max="3078" width="0" style="1491" hidden="1" customWidth="1"/>
    <col min="3079" max="3079" width="15.28515625" style="1491" customWidth="1"/>
    <col min="3080" max="3080" width="14.42578125" style="1491" customWidth="1"/>
    <col min="3081" max="3081" width="15.85546875" style="1491" customWidth="1"/>
    <col min="3082" max="3082" width="9.140625" style="1491" customWidth="1"/>
    <col min="3083" max="3083" width="13.5703125" style="1491" bestFit="1" customWidth="1"/>
    <col min="3084" max="3327" width="9.140625" style="1491"/>
    <col min="3328" max="3328" width="6.5703125" style="1491" customWidth="1"/>
    <col min="3329" max="3329" width="42.7109375" style="1491" customWidth="1"/>
    <col min="3330" max="3330" width="12.140625" style="1491" customWidth="1"/>
    <col min="3331" max="3331" width="14.85546875" style="1491" customWidth="1"/>
    <col min="3332" max="3332" width="13.140625" style="1491" customWidth="1"/>
    <col min="3333" max="3333" width="31.5703125" style="1491" customWidth="1"/>
    <col min="3334" max="3334" width="0" style="1491" hidden="1" customWidth="1"/>
    <col min="3335" max="3335" width="15.28515625" style="1491" customWidth="1"/>
    <col min="3336" max="3336" width="14.42578125" style="1491" customWidth="1"/>
    <col min="3337" max="3337" width="15.85546875" style="1491" customWidth="1"/>
    <col min="3338" max="3338" width="9.140625" style="1491" customWidth="1"/>
    <col min="3339" max="3339" width="13.5703125" style="1491" bestFit="1" customWidth="1"/>
    <col min="3340" max="3583" width="9.140625" style="1491"/>
    <col min="3584" max="3584" width="6.5703125" style="1491" customWidth="1"/>
    <col min="3585" max="3585" width="42.7109375" style="1491" customWidth="1"/>
    <col min="3586" max="3586" width="12.140625" style="1491" customWidth="1"/>
    <col min="3587" max="3587" width="14.85546875" style="1491" customWidth="1"/>
    <col min="3588" max="3588" width="13.140625" style="1491" customWidth="1"/>
    <col min="3589" max="3589" width="31.5703125" style="1491" customWidth="1"/>
    <col min="3590" max="3590" width="0" style="1491" hidden="1" customWidth="1"/>
    <col min="3591" max="3591" width="15.28515625" style="1491" customWidth="1"/>
    <col min="3592" max="3592" width="14.42578125" style="1491" customWidth="1"/>
    <col min="3593" max="3593" width="15.85546875" style="1491" customWidth="1"/>
    <col min="3594" max="3594" width="9.140625" style="1491" customWidth="1"/>
    <col min="3595" max="3595" width="13.5703125" style="1491" bestFit="1" customWidth="1"/>
    <col min="3596" max="3839" width="9.140625" style="1491"/>
    <col min="3840" max="3840" width="6.5703125" style="1491" customWidth="1"/>
    <col min="3841" max="3841" width="42.7109375" style="1491" customWidth="1"/>
    <col min="3842" max="3842" width="12.140625" style="1491" customWidth="1"/>
    <col min="3843" max="3843" width="14.85546875" style="1491" customWidth="1"/>
    <col min="3844" max="3844" width="13.140625" style="1491" customWidth="1"/>
    <col min="3845" max="3845" width="31.5703125" style="1491" customWidth="1"/>
    <col min="3846" max="3846" width="0" style="1491" hidden="1" customWidth="1"/>
    <col min="3847" max="3847" width="15.28515625" style="1491" customWidth="1"/>
    <col min="3848" max="3848" width="14.42578125" style="1491" customWidth="1"/>
    <col min="3849" max="3849" width="15.85546875" style="1491" customWidth="1"/>
    <col min="3850" max="3850" width="9.140625" style="1491" customWidth="1"/>
    <col min="3851" max="3851" width="13.5703125" style="1491" bestFit="1" customWidth="1"/>
    <col min="3852" max="4095" width="9.140625" style="1491"/>
    <col min="4096" max="4096" width="6.5703125" style="1491" customWidth="1"/>
    <col min="4097" max="4097" width="42.7109375" style="1491" customWidth="1"/>
    <col min="4098" max="4098" width="12.140625" style="1491" customWidth="1"/>
    <col min="4099" max="4099" width="14.85546875" style="1491" customWidth="1"/>
    <col min="4100" max="4100" width="13.140625" style="1491" customWidth="1"/>
    <col min="4101" max="4101" width="31.5703125" style="1491" customWidth="1"/>
    <col min="4102" max="4102" width="0" style="1491" hidden="1" customWidth="1"/>
    <col min="4103" max="4103" width="15.28515625" style="1491" customWidth="1"/>
    <col min="4104" max="4104" width="14.42578125" style="1491" customWidth="1"/>
    <col min="4105" max="4105" width="15.85546875" style="1491" customWidth="1"/>
    <col min="4106" max="4106" width="9.140625" style="1491" customWidth="1"/>
    <col min="4107" max="4107" width="13.5703125" style="1491" bestFit="1" customWidth="1"/>
    <col min="4108" max="4351" width="9.140625" style="1491"/>
    <col min="4352" max="4352" width="6.5703125" style="1491" customWidth="1"/>
    <col min="4353" max="4353" width="42.7109375" style="1491" customWidth="1"/>
    <col min="4354" max="4354" width="12.140625" style="1491" customWidth="1"/>
    <col min="4355" max="4355" width="14.85546875" style="1491" customWidth="1"/>
    <col min="4356" max="4356" width="13.140625" style="1491" customWidth="1"/>
    <col min="4357" max="4357" width="31.5703125" style="1491" customWidth="1"/>
    <col min="4358" max="4358" width="0" style="1491" hidden="1" customWidth="1"/>
    <col min="4359" max="4359" width="15.28515625" style="1491" customWidth="1"/>
    <col min="4360" max="4360" width="14.42578125" style="1491" customWidth="1"/>
    <col min="4361" max="4361" width="15.85546875" style="1491" customWidth="1"/>
    <col min="4362" max="4362" width="9.140625" style="1491" customWidth="1"/>
    <col min="4363" max="4363" width="13.5703125" style="1491" bestFit="1" customWidth="1"/>
    <col min="4364" max="4607" width="9.140625" style="1491"/>
    <col min="4608" max="4608" width="6.5703125" style="1491" customWidth="1"/>
    <col min="4609" max="4609" width="42.7109375" style="1491" customWidth="1"/>
    <col min="4610" max="4610" width="12.140625" style="1491" customWidth="1"/>
    <col min="4611" max="4611" width="14.85546875" style="1491" customWidth="1"/>
    <col min="4612" max="4612" width="13.140625" style="1491" customWidth="1"/>
    <col min="4613" max="4613" width="31.5703125" style="1491" customWidth="1"/>
    <col min="4614" max="4614" width="0" style="1491" hidden="1" customWidth="1"/>
    <col min="4615" max="4615" width="15.28515625" style="1491" customWidth="1"/>
    <col min="4616" max="4616" width="14.42578125" style="1491" customWidth="1"/>
    <col min="4617" max="4617" width="15.85546875" style="1491" customWidth="1"/>
    <col min="4618" max="4618" width="9.140625" style="1491" customWidth="1"/>
    <col min="4619" max="4619" width="13.5703125" style="1491" bestFit="1" customWidth="1"/>
    <col min="4620" max="4863" width="9.140625" style="1491"/>
    <col min="4864" max="4864" width="6.5703125" style="1491" customWidth="1"/>
    <col min="4865" max="4865" width="42.7109375" style="1491" customWidth="1"/>
    <col min="4866" max="4866" width="12.140625" style="1491" customWidth="1"/>
    <col min="4867" max="4867" width="14.85546875" style="1491" customWidth="1"/>
    <col min="4868" max="4868" width="13.140625" style="1491" customWidth="1"/>
    <col min="4869" max="4869" width="31.5703125" style="1491" customWidth="1"/>
    <col min="4870" max="4870" width="0" style="1491" hidden="1" customWidth="1"/>
    <col min="4871" max="4871" width="15.28515625" style="1491" customWidth="1"/>
    <col min="4872" max="4872" width="14.42578125" style="1491" customWidth="1"/>
    <col min="4873" max="4873" width="15.85546875" style="1491" customWidth="1"/>
    <col min="4874" max="4874" width="9.140625" style="1491" customWidth="1"/>
    <col min="4875" max="4875" width="13.5703125" style="1491" bestFit="1" customWidth="1"/>
    <col min="4876" max="5119" width="9.140625" style="1491"/>
    <col min="5120" max="5120" width="6.5703125" style="1491" customWidth="1"/>
    <col min="5121" max="5121" width="42.7109375" style="1491" customWidth="1"/>
    <col min="5122" max="5122" width="12.140625" style="1491" customWidth="1"/>
    <col min="5123" max="5123" width="14.85546875" style="1491" customWidth="1"/>
    <col min="5124" max="5124" width="13.140625" style="1491" customWidth="1"/>
    <col min="5125" max="5125" width="31.5703125" style="1491" customWidth="1"/>
    <col min="5126" max="5126" width="0" style="1491" hidden="1" customWidth="1"/>
    <col min="5127" max="5127" width="15.28515625" style="1491" customWidth="1"/>
    <col min="5128" max="5128" width="14.42578125" style="1491" customWidth="1"/>
    <col min="5129" max="5129" width="15.85546875" style="1491" customWidth="1"/>
    <col min="5130" max="5130" width="9.140625" style="1491" customWidth="1"/>
    <col min="5131" max="5131" width="13.5703125" style="1491" bestFit="1" customWidth="1"/>
    <col min="5132" max="5375" width="9.140625" style="1491"/>
    <col min="5376" max="5376" width="6.5703125" style="1491" customWidth="1"/>
    <col min="5377" max="5377" width="42.7109375" style="1491" customWidth="1"/>
    <col min="5378" max="5378" width="12.140625" style="1491" customWidth="1"/>
    <col min="5379" max="5379" width="14.85546875" style="1491" customWidth="1"/>
    <col min="5380" max="5380" width="13.140625" style="1491" customWidth="1"/>
    <col min="5381" max="5381" width="31.5703125" style="1491" customWidth="1"/>
    <col min="5382" max="5382" width="0" style="1491" hidden="1" customWidth="1"/>
    <col min="5383" max="5383" width="15.28515625" style="1491" customWidth="1"/>
    <col min="5384" max="5384" width="14.42578125" style="1491" customWidth="1"/>
    <col min="5385" max="5385" width="15.85546875" style="1491" customWidth="1"/>
    <col min="5386" max="5386" width="9.140625" style="1491" customWidth="1"/>
    <col min="5387" max="5387" width="13.5703125" style="1491" bestFit="1" customWidth="1"/>
    <col min="5388" max="5631" width="9.140625" style="1491"/>
    <col min="5632" max="5632" width="6.5703125" style="1491" customWidth="1"/>
    <col min="5633" max="5633" width="42.7109375" style="1491" customWidth="1"/>
    <col min="5634" max="5634" width="12.140625" style="1491" customWidth="1"/>
    <col min="5635" max="5635" width="14.85546875" style="1491" customWidth="1"/>
    <col min="5636" max="5636" width="13.140625" style="1491" customWidth="1"/>
    <col min="5637" max="5637" width="31.5703125" style="1491" customWidth="1"/>
    <col min="5638" max="5638" width="0" style="1491" hidden="1" customWidth="1"/>
    <col min="5639" max="5639" width="15.28515625" style="1491" customWidth="1"/>
    <col min="5640" max="5640" width="14.42578125" style="1491" customWidth="1"/>
    <col min="5641" max="5641" width="15.85546875" style="1491" customWidth="1"/>
    <col min="5642" max="5642" width="9.140625" style="1491" customWidth="1"/>
    <col min="5643" max="5643" width="13.5703125" style="1491" bestFit="1" customWidth="1"/>
    <col min="5644" max="5887" width="9.140625" style="1491"/>
    <col min="5888" max="5888" width="6.5703125" style="1491" customWidth="1"/>
    <col min="5889" max="5889" width="42.7109375" style="1491" customWidth="1"/>
    <col min="5890" max="5890" width="12.140625" style="1491" customWidth="1"/>
    <col min="5891" max="5891" width="14.85546875" style="1491" customWidth="1"/>
    <col min="5892" max="5892" width="13.140625" style="1491" customWidth="1"/>
    <col min="5893" max="5893" width="31.5703125" style="1491" customWidth="1"/>
    <col min="5894" max="5894" width="0" style="1491" hidden="1" customWidth="1"/>
    <col min="5895" max="5895" width="15.28515625" style="1491" customWidth="1"/>
    <col min="5896" max="5896" width="14.42578125" style="1491" customWidth="1"/>
    <col min="5897" max="5897" width="15.85546875" style="1491" customWidth="1"/>
    <col min="5898" max="5898" width="9.140625" style="1491" customWidth="1"/>
    <col min="5899" max="5899" width="13.5703125" style="1491" bestFit="1" customWidth="1"/>
    <col min="5900" max="6143" width="9.140625" style="1491"/>
    <col min="6144" max="6144" width="6.5703125" style="1491" customWidth="1"/>
    <col min="6145" max="6145" width="42.7109375" style="1491" customWidth="1"/>
    <col min="6146" max="6146" width="12.140625" style="1491" customWidth="1"/>
    <col min="6147" max="6147" width="14.85546875" style="1491" customWidth="1"/>
    <col min="6148" max="6148" width="13.140625" style="1491" customWidth="1"/>
    <col min="6149" max="6149" width="31.5703125" style="1491" customWidth="1"/>
    <col min="6150" max="6150" width="0" style="1491" hidden="1" customWidth="1"/>
    <col min="6151" max="6151" width="15.28515625" style="1491" customWidth="1"/>
    <col min="6152" max="6152" width="14.42578125" style="1491" customWidth="1"/>
    <col min="6153" max="6153" width="15.85546875" style="1491" customWidth="1"/>
    <col min="6154" max="6154" width="9.140625" style="1491" customWidth="1"/>
    <col min="6155" max="6155" width="13.5703125" style="1491" bestFit="1" customWidth="1"/>
    <col min="6156" max="6399" width="9.140625" style="1491"/>
    <col min="6400" max="6400" width="6.5703125" style="1491" customWidth="1"/>
    <col min="6401" max="6401" width="42.7109375" style="1491" customWidth="1"/>
    <col min="6402" max="6402" width="12.140625" style="1491" customWidth="1"/>
    <col min="6403" max="6403" width="14.85546875" style="1491" customWidth="1"/>
    <col min="6404" max="6404" width="13.140625" style="1491" customWidth="1"/>
    <col min="6405" max="6405" width="31.5703125" style="1491" customWidth="1"/>
    <col min="6406" max="6406" width="0" style="1491" hidden="1" customWidth="1"/>
    <col min="6407" max="6407" width="15.28515625" style="1491" customWidth="1"/>
    <col min="6408" max="6408" width="14.42578125" style="1491" customWidth="1"/>
    <col min="6409" max="6409" width="15.85546875" style="1491" customWidth="1"/>
    <col min="6410" max="6410" width="9.140625" style="1491" customWidth="1"/>
    <col min="6411" max="6411" width="13.5703125" style="1491" bestFit="1" customWidth="1"/>
    <col min="6412" max="6655" width="9.140625" style="1491"/>
    <col min="6656" max="6656" width="6.5703125" style="1491" customWidth="1"/>
    <col min="6657" max="6657" width="42.7109375" style="1491" customWidth="1"/>
    <col min="6658" max="6658" width="12.140625" style="1491" customWidth="1"/>
    <col min="6659" max="6659" width="14.85546875" style="1491" customWidth="1"/>
    <col min="6660" max="6660" width="13.140625" style="1491" customWidth="1"/>
    <col min="6661" max="6661" width="31.5703125" style="1491" customWidth="1"/>
    <col min="6662" max="6662" width="0" style="1491" hidden="1" customWidth="1"/>
    <col min="6663" max="6663" width="15.28515625" style="1491" customWidth="1"/>
    <col min="6664" max="6664" width="14.42578125" style="1491" customWidth="1"/>
    <col min="6665" max="6665" width="15.85546875" style="1491" customWidth="1"/>
    <col min="6666" max="6666" width="9.140625" style="1491" customWidth="1"/>
    <col min="6667" max="6667" width="13.5703125" style="1491" bestFit="1" customWidth="1"/>
    <col min="6668" max="6911" width="9.140625" style="1491"/>
    <col min="6912" max="6912" width="6.5703125" style="1491" customWidth="1"/>
    <col min="6913" max="6913" width="42.7109375" style="1491" customWidth="1"/>
    <col min="6914" max="6914" width="12.140625" style="1491" customWidth="1"/>
    <col min="6915" max="6915" width="14.85546875" style="1491" customWidth="1"/>
    <col min="6916" max="6916" width="13.140625" style="1491" customWidth="1"/>
    <col min="6917" max="6917" width="31.5703125" style="1491" customWidth="1"/>
    <col min="6918" max="6918" width="0" style="1491" hidden="1" customWidth="1"/>
    <col min="6919" max="6919" width="15.28515625" style="1491" customWidth="1"/>
    <col min="6920" max="6920" width="14.42578125" style="1491" customWidth="1"/>
    <col min="6921" max="6921" width="15.85546875" style="1491" customWidth="1"/>
    <col min="6922" max="6922" width="9.140625" style="1491" customWidth="1"/>
    <col min="6923" max="6923" width="13.5703125" style="1491" bestFit="1" customWidth="1"/>
    <col min="6924" max="7167" width="9.140625" style="1491"/>
    <col min="7168" max="7168" width="6.5703125" style="1491" customWidth="1"/>
    <col min="7169" max="7169" width="42.7109375" style="1491" customWidth="1"/>
    <col min="7170" max="7170" width="12.140625" style="1491" customWidth="1"/>
    <col min="7171" max="7171" width="14.85546875" style="1491" customWidth="1"/>
    <col min="7172" max="7172" width="13.140625" style="1491" customWidth="1"/>
    <col min="7173" max="7173" width="31.5703125" style="1491" customWidth="1"/>
    <col min="7174" max="7174" width="0" style="1491" hidden="1" customWidth="1"/>
    <col min="7175" max="7175" width="15.28515625" style="1491" customWidth="1"/>
    <col min="7176" max="7176" width="14.42578125" style="1491" customWidth="1"/>
    <col min="7177" max="7177" width="15.85546875" style="1491" customWidth="1"/>
    <col min="7178" max="7178" width="9.140625" style="1491" customWidth="1"/>
    <col min="7179" max="7179" width="13.5703125" style="1491" bestFit="1" customWidth="1"/>
    <col min="7180" max="7423" width="9.140625" style="1491"/>
    <col min="7424" max="7424" width="6.5703125" style="1491" customWidth="1"/>
    <col min="7425" max="7425" width="42.7109375" style="1491" customWidth="1"/>
    <col min="7426" max="7426" width="12.140625" style="1491" customWidth="1"/>
    <col min="7427" max="7427" width="14.85546875" style="1491" customWidth="1"/>
    <col min="7428" max="7428" width="13.140625" style="1491" customWidth="1"/>
    <col min="7429" max="7429" width="31.5703125" style="1491" customWidth="1"/>
    <col min="7430" max="7430" width="0" style="1491" hidden="1" customWidth="1"/>
    <col min="7431" max="7431" width="15.28515625" style="1491" customWidth="1"/>
    <col min="7432" max="7432" width="14.42578125" style="1491" customWidth="1"/>
    <col min="7433" max="7433" width="15.85546875" style="1491" customWidth="1"/>
    <col min="7434" max="7434" width="9.140625" style="1491" customWidth="1"/>
    <col min="7435" max="7435" width="13.5703125" style="1491" bestFit="1" customWidth="1"/>
    <col min="7436" max="7679" width="9.140625" style="1491"/>
    <col min="7680" max="7680" width="6.5703125" style="1491" customWidth="1"/>
    <col min="7681" max="7681" width="42.7109375" style="1491" customWidth="1"/>
    <col min="7682" max="7682" width="12.140625" style="1491" customWidth="1"/>
    <col min="7683" max="7683" width="14.85546875" style="1491" customWidth="1"/>
    <col min="7684" max="7684" width="13.140625" style="1491" customWidth="1"/>
    <col min="7685" max="7685" width="31.5703125" style="1491" customWidth="1"/>
    <col min="7686" max="7686" width="0" style="1491" hidden="1" customWidth="1"/>
    <col min="7687" max="7687" width="15.28515625" style="1491" customWidth="1"/>
    <col min="7688" max="7688" width="14.42578125" style="1491" customWidth="1"/>
    <col min="7689" max="7689" width="15.85546875" style="1491" customWidth="1"/>
    <col min="7690" max="7690" width="9.140625" style="1491" customWidth="1"/>
    <col min="7691" max="7691" width="13.5703125" style="1491" bestFit="1" customWidth="1"/>
    <col min="7692" max="7935" width="9.140625" style="1491"/>
    <col min="7936" max="7936" width="6.5703125" style="1491" customWidth="1"/>
    <col min="7937" max="7937" width="42.7109375" style="1491" customWidth="1"/>
    <col min="7938" max="7938" width="12.140625" style="1491" customWidth="1"/>
    <col min="7939" max="7939" width="14.85546875" style="1491" customWidth="1"/>
    <col min="7940" max="7940" width="13.140625" style="1491" customWidth="1"/>
    <col min="7941" max="7941" width="31.5703125" style="1491" customWidth="1"/>
    <col min="7942" max="7942" width="0" style="1491" hidden="1" customWidth="1"/>
    <col min="7943" max="7943" width="15.28515625" style="1491" customWidth="1"/>
    <col min="7944" max="7944" width="14.42578125" style="1491" customWidth="1"/>
    <col min="7945" max="7945" width="15.85546875" style="1491" customWidth="1"/>
    <col min="7946" max="7946" width="9.140625" style="1491" customWidth="1"/>
    <col min="7947" max="7947" width="13.5703125" style="1491" bestFit="1" customWidth="1"/>
    <col min="7948" max="8191" width="9.140625" style="1491"/>
    <col min="8192" max="8192" width="6.5703125" style="1491" customWidth="1"/>
    <col min="8193" max="8193" width="42.7109375" style="1491" customWidth="1"/>
    <col min="8194" max="8194" width="12.140625" style="1491" customWidth="1"/>
    <col min="8195" max="8195" width="14.85546875" style="1491" customWidth="1"/>
    <col min="8196" max="8196" width="13.140625" style="1491" customWidth="1"/>
    <col min="8197" max="8197" width="31.5703125" style="1491" customWidth="1"/>
    <col min="8198" max="8198" width="0" style="1491" hidden="1" customWidth="1"/>
    <col min="8199" max="8199" width="15.28515625" style="1491" customWidth="1"/>
    <col min="8200" max="8200" width="14.42578125" style="1491" customWidth="1"/>
    <col min="8201" max="8201" width="15.85546875" style="1491" customWidth="1"/>
    <col min="8202" max="8202" width="9.140625" style="1491" customWidth="1"/>
    <col min="8203" max="8203" width="13.5703125" style="1491" bestFit="1" customWidth="1"/>
    <col min="8204" max="8447" width="9.140625" style="1491"/>
    <col min="8448" max="8448" width="6.5703125" style="1491" customWidth="1"/>
    <col min="8449" max="8449" width="42.7109375" style="1491" customWidth="1"/>
    <col min="8450" max="8450" width="12.140625" style="1491" customWidth="1"/>
    <col min="8451" max="8451" width="14.85546875" style="1491" customWidth="1"/>
    <col min="8452" max="8452" width="13.140625" style="1491" customWidth="1"/>
    <col min="8453" max="8453" width="31.5703125" style="1491" customWidth="1"/>
    <col min="8454" max="8454" width="0" style="1491" hidden="1" customWidth="1"/>
    <col min="8455" max="8455" width="15.28515625" style="1491" customWidth="1"/>
    <col min="8456" max="8456" width="14.42578125" style="1491" customWidth="1"/>
    <col min="8457" max="8457" width="15.85546875" style="1491" customWidth="1"/>
    <col min="8458" max="8458" width="9.140625" style="1491" customWidth="1"/>
    <col min="8459" max="8459" width="13.5703125" style="1491" bestFit="1" customWidth="1"/>
    <col min="8460" max="8703" width="9.140625" style="1491"/>
    <col min="8704" max="8704" width="6.5703125" style="1491" customWidth="1"/>
    <col min="8705" max="8705" width="42.7109375" style="1491" customWidth="1"/>
    <col min="8706" max="8706" width="12.140625" style="1491" customWidth="1"/>
    <col min="8707" max="8707" width="14.85546875" style="1491" customWidth="1"/>
    <col min="8708" max="8708" width="13.140625" style="1491" customWidth="1"/>
    <col min="8709" max="8709" width="31.5703125" style="1491" customWidth="1"/>
    <col min="8710" max="8710" width="0" style="1491" hidden="1" customWidth="1"/>
    <col min="8711" max="8711" width="15.28515625" style="1491" customWidth="1"/>
    <col min="8712" max="8712" width="14.42578125" style="1491" customWidth="1"/>
    <col min="8713" max="8713" width="15.85546875" style="1491" customWidth="1"/>
    <col min="8714" max="8714" width="9.140625" style="1491" customWidth="1"/>
    <col min="8715" max="8715" width="13.5703125" style="1491" bestFit="1" customWidth="1"/>
    <col min="8716" max="8959" width="9.140625" style="1491"/>
    <col min="8960" max="8960" width="6.5703125" style="1491" customWidth="1"/>
    <col min="8961" max="8961" width="42.7109375" style="1491" customWidth="1"/>
    <col min="8962" max="8962" width="12.140625" style="1491" customWidth="1"/>
    <col min="8963" max="8963" width="14.85546875" style="1491" customWidth="1"/>
    <col min="8964" max="8964" width="13.140625" style="1491" customWidth="1"/>
    <col min="8965" max="8965" width="31.5703125" style="1491" customWidth="1"/>
    <col min="8966" max="8966" width="0" style="1491" hidden="1" customWidth="1"/>
    <col min="8967" max="8967" width="15.28515625" style="1491" customWidth="1"/>
    <col min="8968" max="8968" width="14.42578125" style="1491" customWidth="1"/>
    <col min="8969" max="8969" width="15.85546875" style="1491" customWidth="1"/>
    <col min="8970" max="8970" width="9.140625" style="1491" customWidth="1"/>
    <col min="8971" max="8971" width="13.5703125" style="1491" bestFit="1" customWidth="1"/>
    <col min="8972" max="9215" width="9.140625" style="1491"/>
    <col min="9216" max="9216" width="6.5703125" style="1491" customWidth="1"/>
    <col min="9217" max="9217" width="42.7109375" style="1491" customWidth="1"/>
    <col min="9218" max="9218" width="12.140625" style="1491" customWidth="1"/>
    <col min="9219" max="9219" width="14.85546875" style="1491" customWidth="1"/>
    <col min="9220" max="9220" width="13.140625" style="1491" customWidth="1"/>
    <col min="9221" max="9221" width="31.5703125" style="1491" customWidth="1"/>
    <col min="9222" max="9222" width="0" style="1491" hidden="1" customWidth="1"/>
    <col min="9223" max="9223" width="15.28515625" style="1491" customWidth="1"/>
    <col min="9224" max="9224" width="14.42578125" style="1491" customWidth="1"/>
    <col min="9225" max="9225" width="15.85546875" style="1491" customWidth="1"/>
    <col min="9226" max="9226" width="9.140625" style="1491" customWidth="1"/>
    <col min="9227" max="9227" width="13.5703125" style="1491" bestFit="1" customWidth="1"/>
    <col min="9228" max="9471" width="9.140625" style="1491"/>
    <col min="9472" max="9472" width="6.5703125" style="1491" customWidth="1"/>
    <col min="9473" max="9473" width="42.7109375" style="1491" customWidth="1"/>
    <col min="9474" max="9474" width="12.140625" style="1491" customWidth="1"/>
    <col min="9475" max="9475" width="14.85546875" style="1491" customWidth="1"/>
    <col min="9476" max="9476" width="13.140625" style="1491" customWidth="1"/>
    <col min="9477" max="9477" width="31.5703125" style="1491" customWidth="1"/>
    <col min="9478" max="9478" width="0" style="1491" hidden="1" customWidth="1"/>
    <col min="9479" max="9479" width="15.28515625" style="1491" customWidth="1"/>
    <col min="9480" max="9480" width="14.42578125" style="1491" customWidth="1"/>
    <col min="9481" max="9481" width="15.85546875" style="1491" customWidth="1"/>
    <col min="9482" max="9482" width="9.140625" style="1491" customWidth="1"/>
    <col min="9483" max="9483" width="13.5703125" style="1491" bestFit="1" customWidth="1"/>
    <col min="9484" max="9727" width="9.140625" style="1491"/>
    <col min="9728" max="9728" width="6.5703125" style="1491" customWidth="1"/>
    <col min="9729" max="9729" width="42.7109375" style="1491" customWidth="1"/>
    <col min="9730" max="9730" width="12.140625" style="1491" customWidth="1"/>
    <col min="9731" max="9731" width="14.85546875" style="1491" customWidth="1"/>
    <col min="9732" max="9732" width="13.140625" style="1491" customWidth="1"/>
    <col min="9733" max="9733" width="31.5703125" style="1491" customWidth="1"/>
    <col min="9734" max="9734" width="0" style="1491" hidden="1" customWidth="1"/>
    <col min="9735" max="9735" width="15.28515625" style="1491" customWidth="1"/>
    <col min="9736" max="9736" width="14.42578125" style="1491" customWidth="1"/>
    <col min="9737" max="9737" width="15.85546875" style="1491" customWidth="1"/>
    <col min="9738" max="9738" width="9.140625" style="1491" customWidth="1"/>
    <col min="9739" max="9739" width="13.5703125" style="1491" bestFit="1" customWidth="1"/>
    <col min="9740" max="9983" width="9.140625" style="1491"/>
    <col min="9984" max="9984" width="6.5703125" style="1491" customWidth="1"/>
    <col min="9985" max="9985" width="42.7109375" style="1491" customWidth="1"/>
    <col min="9986" max="9986" width="12.140625" style="1491" customWidth="1"/>
    <col min="9987" max="9987" width="14.85546875" style="1491" customWidth="1"/>
    <col min="9988" max="9988" width="13.140625" style="1491" customWidth="1"/>
    <col min="9989" max="9989" width="31.5703125" style="1491" customWidth="1"/>
    <col min="9990" max="9990" width="0" style="1491" hidden="1" customWidth="1"/>
    <col min="9991" max="9991" width="15.28515625" style="1491" customWidth="1"/>
    <col min="9992" max="9992" width="14.42578125" style="1491" customWidth="1"/>
    <col min="9993" max="9993" width="15.85546875" style="1491" customWidth="1"/>
    <col min="9994" max="9994" width="9.140625" style="1491" customWidth="1"/>
    <col min="9995" max="9995" width="13.5703125" style="1491" bestFit="1" customWidth="1"/>
    <col min="9996" max="10239" width="9.140625" style="1491"/>
    <col min="10240" max="10240" width="6.5703125" style="1491" customWidth="1"/>
    <col min="10241" max="10241" width="42.7109375" style="1491" customWidth="1"/>
    <col min="10242" max="10242" width="12.140625" style="1491" customWidth="1"/>
    <col min="10243" max="10243" width="14.85546875" style="1491" customWidth="1"/>
    <col min="10244" max="10244" width="13.140625" style="1491" customWidth="1"/>
    <col min="10245" max="10245" width="31.5703125" style="1491" customWidth="1"/>
    <col min="10246" max="10246" width="0" style="1491" hidden="1" customWidth="1"/>
    <col min="10247" max="10247" width="15.28515625" style="1491" customWidth="1"/>
    <col min="10248" max="10248" width="14.42578125" style="1491" customWidth="1"/>
    <col min="10249" max="10249" width="15.85546875" style="1491" customWidth="1"/>
    <col min="10250" max="10250" width="9.140625" style="1491" customWidth="1"/>
    <col min="10251" max="10251" width="13.5703125" style="1491" bestFit="1" customWidth="1"/>
    <col min="10252" max="10495" width="9.140625" style="1491"/>
    <col min="10496" max="10496" width="6.5703125" style="1491" customWidth="1"/>
    <col min="10497" max="10497" width="42.7109375" style="1491" customWidth="1"/>
    <col min="10498" max="10498" width="12.140625" style="1491" customWidth="1"/>
    <col min="10499" max="10499" width="14.85546875" style="1491" customWidth="1"/>
    <col min="10500" max="10500" width="13.140625" style="1491" customWidth="1"/>
    <col min="10501" max="10501" width="31.5703125" style="1491" customWidth="1"/>
    <col min="10502" max="10502" width="0" style="1491" hidden="1" customWidth="1"/>
    <col min="10503" max="10503" width="15.28515625" style="1491" customWidth="1"/>
    <col min="10504" max="10504" width="14.42578125" style="1491" customWidth="1"/>
    <col min="10505" max="10505" width="15.85546875" style="1491" customWidth="1"/>
    <col min="10506" max="10506" width="9.140625" style="1491" customWidth="1"/>
    <col min="10507" max="10507" width="13.5703125" style="1491" bestFit="1" customWidth="1"/>
    <col min="10508" max="10751" width="9.140625" style="1491"/>
    <col min="10752" max="10752" width="6.5703125" style="1491" customWidth="1"/>
    <col min="10753" max="10753" width="42.7109375" style="1491" customWidth="1"/>
    <col min="10754" max="10754" width="12.140625" style="1491" customWidth="1"/>
    <col min="10755" max="10755" width="14.85546875" style="1491" customWidth="1"/>
    <col min="10756" max="10756" width="13.140625" style="1491" customWidth="1"/>
    <col min="10757" max="10757" width="31.5703125" style="1491" customWidth="1"/>
    <col min="10758" max="10758" width="0" style="1491" hidden="1" customWidth="1"/>
    <col min="10759" max="10759" width="15.28515625" style="1491" customWidth="1"/>
    <col min="10760" max="10760" width="14.42578125" style="1491" customWidth="1"/>
    <col min="10761" max="10761" width="15.85546875" style="1491" customWidth="1"/>
    <col min="10762" max="10762" width="9.140625" style="1491" customWidth="1"/>
    <col min="10763" max="10763" width="13.5703125" style="1491" bestFit="1" customWidth="1"/>
    <col min="10764" max="11007" width="9.140625" style="1491"/>
    <col min="11008" max="11008" width="6.5703125" style="1491" customWidth="1"/>
    <col min="11009" max="11009" width="42.7109375" style="1491" customWidth="1"/>
    <col min="11010" max="11010" width="12.140625" style="1491" customWidth="1"/>
    <col min="11011" max="11011" width="14.85546875" style="1491" customWidth="1"/>
    <col min="11012" max="11012" width="13.140625" style="1491" customWidth="1"/>
    <col min="11013" max="11013" width="31.5703125" style="1491" customWidth="1"/>
    <col min="11014" max="11014" width="0" style="1491" hidden="1" customWidth="1"/>
    <col min="11015" max="11015" width="15.28515625" style="1491" customWidth="1"/>
    <col min="11016" max="11016" width="14.42578125" style="1491" customWidth="1"/>
    <col min="11017" max="11017" width="15.85546875" style="1491" customWidth="1"/>
    <col min="11018" max="11018" width="9.140625" style="1491" customWidth="1"/>
    <col min="11019" max="11019" width="13.5703125" style="1491" bestFit="1" customWidth="1"/>
    <col min="11020" max="11263" width="9.140625" style="1491"/>
    <col min="11264" max="11264" width="6.5703125" style="1491" customWidth="1"/>
    <col min="11265" max="11265" width="42.7109375" style="1491" customWidth="1"/>
    <col min="11266" max="11266" width="12.140625" style="1491" customWidth="1"/>
    <col min="11267" max="11267" width="14.85546875" style="1491" customWidth="1"/>
    <col min="11268" max="11268" width="13.140625" style="1491" customWidth="1"/>
    <col min="11269" max="11269" width="31.5703125" style="1491" customWidth="1"/>
    <col min="11270" max="11270" width="0" style="1491" hidden="1" customWidth="1"/>
    <col min="11271" max="11271" width="15.28515625" style="1491" customWidth="1"/>
    <col min="11272" max="11272" width="14.42578125" style="1491" customWidth="1"/>
    <col min="11273" max="11273" width="15.85546875" style="1491" customWidth="1"/>
    <col min="11274" max="11274" width="9.140625" style="1491" customWidth="1"/>
    <col min="11275" max="11275" width="13.5703125" style="1491" bestFit="1" customWidth="1"/>
    <col min="11276" max="11519" width="9.140625" style="1491"/>
    <col min="11520" max="11520" width="6.5703125" style="1491" customWidth="1"/>
    <col min="11521" max="11521" width="42.7109375" style="1491" customWidth="1"/>
    <col min="11522" max="11522" width="12.140625" style="1491" customWidth="1"/>
    <col min="11523" max="11523" width="14.85546875" style="1491" customWidth="1"/>
    <col min="11524" max="11524" width="13.140625" style="1491" customWidth="1"/>
    <col min="11525" max="11525" width="31.5703125" style="1491" customWidth="1"/>
    <col min="11526" max="11526" width="0" style="1491" hidden="1" customWidth="1"/>
    <col min="11527" max="11527" width="15.28515625" style="1491" customWidth="1"/>
    <col min="11528" max="11528" width="14.42578125" style="1491" customWidth="1"/>
    <col min="11529" max="11529" width="15.85546875" style="1491" customWidth="1"/>
    <col min="11530" max="11530" width="9.140625" style="1491" customWidth="1"/>
    <col min="11531" max="11531" width="13.5703125" style="1491" bestFit="1" customWidth="1"/>
    <col min="11532" max="11775" width="9.140625" style="1491"/>
    <col min="11776" max="11776" width="6.5703125" style="1491" customWidth="1"/>
    <col min="11777" max="11777" width="42.7109375" style="1491" customWidth="1"/>
    <col min="11778" max="11778" width="12.140625" style="1491" customWidth="1"/>
    <col min="11779" max="11779" width="14.85546875" style="1491" customWidth="1"/>
    <col min="11780" max="11780" width="13.140625" style="1491" customWidth="1"/>
    <col min="11781" max="11781" width="31.5703125" style="1491" customWidth="1"/>
    <col min="11782" max="11782" width="0" style="1491" hidden="1" customWidth="1"/>
    <col min="11783" max="11783" width="15.28515625" style="1491" customWidth="1"/>
    <col min="11784" max="11784" width="14.42578125" style="1491" customWidth="1"/>
    <col min="11785" max="11785" width="15.85546875" style="1491" customWidth="1"/>
    <col min="11786" max="11786" width="9.140625" style="1491" customWidth="1"/>
    <col min="11787" max="11787" width="13.5703125" style="1491" bestFit="1" customWidth="1"/>
    <col min="11788" max="12031" width="9.140625" style="1491"/>
    <col min="12032" max="12032" width="6.5703125" style="1491" customWidth="1"/>
    <col min="12033" max="12033" width="42.7109375" style="1491" customWidth="1"/>
    <col min="12034" max="12034" width="12.140625" style="1491" customWidth="1"/>
    <col min="12035" max="12035" width="14.85546875" style="1491" customWidth="1"/>
    <col min="12036" max="12036" width="13.140625" style="1491" customWidth="1"/>
    <col min="12037" max="12037" width="31.5703125" style="1491" customWidth="1"/>
    <col min="12038" max="12038" width="0" style="1491" hidden="1" customWidth="1"/>
    <col min="12039" max="12039" width="15.28515625" style="1491" customWidth="1"/>
    <col min="12040" max="12040" width="14.42578125" style="1491" customWidth="1"/>
    <col min="12041" max="12041" width="15.85546875" style="1491" customWidth="1"/>
    <col min="12042" max="12042" width="9.140625" style="1491" customWidth="1"/>
    <col min="12043" max="12043" width="13.5703125" style="1491" bestFit="1" customWidth="1"/>
    <col min="12044" max="12287" width="9.140625" style="1491"/>
    <col min="12288" max="12288" width="6.5703125" style="1491" customWidth="1"/>
    <col min="12289" max="12289" width="42.7109375" style="1491" customWidth="1"/>
    <col min="12290" max="12290" width="12.140625" style="1491" customWidth="1"/>
    <col min="12291" max="12291" width="14.85546875" style="1491" customWidth="1"/>
    <col min="12292" max="12292" width="13.140625" style="1491" customWidth="1"/>
    <col min="12293" max="12293" width="31.5703125" style="1491" customWidth="1"/>
    <col min="12294" max="12294" width="0" style="1491" hidden="1" customWidth="1"/>
    <col min="12295" max="12295" width="15.28515625" style="1491" customWidth="1"/>
    <col min="12296" max="12296" width="14.42578125" style="1491" customWidth="1"/>
    <col min="12297" max="12297" width="15.85546875" style="1491" customWidth="1"/>
    <col min="12298" max="12298" width="9.140625" style="1491" customWidth="1"/>
    <col min="12299" max="12299" width="13.5703125" style="1491" bestFit="1" customWidth="1"/>
    <col min="12300" max="12543" width="9.140625" style="1491"/>
    <col min="12544" max="12544" width="6.5703125" style="1491" customWidth="1"/>
    <col min="12545" max="12545" width="42.7109375" style="1491" customWidth="1"/>
    <col min="12546" max="12546" width="12.140625" style="1491" customWidth="1"/>
    <col min="12547" max="12547" width="14.85546875" style="1491" customWidth="1"/>
    <col min="12548" max="12548" width="13.140625" style="1491" customWidth="1"/>
    <col min="12549" max="12549" width="31.5703125" style="1491" customWidth="1"/>
    <col min="12550" max="12550" width="0" style="1491" hidden="1" customWidth="1"/>
    <col min="12551" max="12551" width="15.28515625" style="1491" customWidth="1"/>
    <col min="12552" max="12552" width="14.42578125" style="1491" customWidth="1"/>
    <col min="12553" max="12553" width="15.85546875" style="1491" customWidth="1"/>
    <col min="12554" max="12554" width="9.140625" style="1491" customWidth="1"/>
    <col min="12555" max="12555" width="13.5703125" style="1491" bestFit="1" customWidth="1"/>
    <col min="12556" max="12799" width="9.140625" style="1491"/>
    <col min="12800" max="12800" width="6.5703125" style="1491" customWidth="1"/>
    <col min="12801" max="12801" width="42.7109375" style="1491" customWidth="1"/>
    <col min="12802" max="12802" width="12.140625" style="1491" customWidth="1"/>
    <col min="12803" max="12803" width="14.85546875" style="1491" customWidth="1"/>
    <col min="12804" max="12804" width="13.140625" style="1491" customWidth="1"/>
    <col min="12805" max="12805" width="31.5703125" style="1491" customWidth="1"/>
    <col min="12806" max="12806" width="0" style="1491" hidden="1" customWidth="1"/>
    <col min="12807" max="12807" width="15.28515625" style="1491" customWidth="1"/>
    <col min="12808" max="12808" width="14.42578125" style="1491" customWidth="1"/>
    <col min="12809" max="12809" width="15.85546875" style="1491" customWidth="1"/>
    <col min="12810" max="12810" width="9.140625" style="1491" customWidth="1"/>
    <col min="12811" max="12811" width="13.5703125" style="1491" bestFit="1" customWidth="1"/>
    <col min="12812" max="13055" width="9.140625" style="1491"/>
    <col min="13056" max="13056" width="6.5703125" style="1491" customWidth="1"/>
    <col min="13057" max="13057" width="42.7109375" style="1491" customWidth="1"/>
    <col min="13058" max="13058" width="12.140625" style="1491" customWidth="1"/>
    <col min="13059" max="13059" width="14.85546875" style="1491" customWidth="1"/>
    <col min="13060" max="13060" width="13.140625" style="1491" customWidth="1"/>
    <col min="13061" max="13061" width="31.5703125" style="1491" customWidth="1"/>
    <col min="13062" max="13062" width="0" style="1491" hidden="1" customWidth="1"/>
    <col min="13063" max="13063" width="15.28515625" style="1491" customWidth="1"/>
    <col min="13064" max="13064" width="14.42578125" style="1491" customWidth="1"/>
    <col min="13065" max="13065" width="15.85546875" style="1491" customWidth="1"/>
    <col min="13066" max="13066" width="9.140625" style="1491" customWidth="1"/>
    <col min="13067" max="13067" width="13.5703125" style="1491" bestFit="1" customWidth="1"/>
    <col min="13068" max="13311" width="9.140625" style="1491"/>
    <col min="13312" max="13312" width="6.5703125" style="1491" customWidth="1"/>
    <col min="13313" max="13313" width="42.7109375" style="1491" customWidth="1"/>
    <col min="13314" max="13314" width="12.140625" style="1491" customWidth="1"/>
    <col min="13315" max="13315" width="14.85546875" style="1491" customWidth="1"/>
    <col min="13316" max="13316" width="13.140625" style="1491" customWidth="1"/>
    <col min="13317" max="13317" width="31.5703125" style="1491" customWidth="1"/>
    <col min="13318" max="13318" width="0" style="1491" hidden="1" customWidth="1"/>
    <col min="13319" max="13319" width="15.28515625" style="1491" customWidth="1"/>
    <col min="13320" max="13320" width="14.42578125" style="1491" customWidth="1"/>
    <col min="13321" max="13321" width="15.85546875" style="1491" customWidth="1"/>
    <col min="13322" max="13322" width="9.140625" style="1491" customWidth="1"/>
    <col min="13323" max="13323" width="13.5703125" style="1491" bestFit="1" customWidth="1"/>
    <col min="13324" max="13567" width="9.140625" style="1491"/>
    <col min="13568" max="13568" width="6.5703125" style="1491" customWidth="1"/>
    <col min="13569" max="13569" width="42.7109375" style="1491" customWidth="1"/>
    <col min="13570" max="13570" width="12.140625" style="1491" customWidth="1"/>
    <col min="13571" max="13571" width="14.85546875" style="1491" customWidth="1"/>
    <col min="13572" max="13572" width="13.140625" style="1491" customWidth="1"/>
    <col min="13573" max="13573" width="31.5703125" style="1491" customWidth="1"/>
    <col min="13574" max="13574" width="0" style="1491" hidden="1" customWidth="1"/>
    <col min="13575" max="13575" width="15.28515625" style="1491" customWidth="1"/>
    <col min="13576" max="13576" width="14.42578125" style="1491" customWidth="1"/>
    <col min="13577" max="13577" width="15.85546875" style="1491" customWidth="1"/>
    <col min="13578" max="13578" width="9.140625" style="1491" customWidth="1"/>
    <col min="13579" max="13579" width="13.5703125" style="1491" bestFit="1" customWidth="1"/>
    <col min="13580" max="13823" width="9.140625" style="1491"/>
    <col min="13824" max="13824" width="6.5703125" style="1491" customWidth="1"/>
    <col min="13825" max="13825" width="42.7109375" style="1491" customWidth="1"/>
    <col min="13826" max="13826" width="12.140625" style="1491" customWidth="1"/>
    <col min="13827" max="13827" width="14.85546875" style="1491" customWidth="1"/>
    <col min="13828" max="13828" width="13.140625" style="1491" customWidth="1"/>
    <col min="13829" max="13829" width="31.5703125" style="1491" customWidth="1"/>
    <col min="13830" max="13830" width="0" style="1491" hidden="1" customWidth="1"/>
    <col min="13831" max="13831" width="15.28515625" style="1491" customWidth="1"/>
    <col min="13832" max="13832" width="14.42578125" style="1491" customWidth="1"/>
    <col min="13833" max="13833" width="15.85546875" style="1491" customWidth="1"/>
    <col min="13834" max="13834" width="9.140625" style="1491" customWidth="1"/>
    <col min="13835" max="13835" width="13.5703125" style="1491" bestFit="1" customWidth="1"/>
    <col min="13836" max="14079" width="9.140625" style="1491"/>
    <col min="14080" max="14080" width="6.5703125" style="1491" customWidth="1"/>
    <col min="14081" max="14081" width="42.7109375" style="1491" customWidth="1"/>
    <col min="14082" max="14082" width="12.140625" style="1491" customWidth="1"/>
    <col min="14083" max="14083" width="14.85546875" style="1491" customWidth="1"/>
    <col min="14084" max="14084" width="13.140625" style="1491" customWidth="1"/>
    <col min="14085" max="14085" width="31.5703125" style="1491" customWidth="1"/>
    <col min="14086" max="14086" width="0" style="1491" hidden="1" customWidth="1"/>
    <col min="14087" max="14087" width="15.28515625" style="1491" customWidth="1"/>
    <col min="14088" max="14088" width="14.42578125" style="1491" customWidth="1"/>
    <col min="14089" max="14089" width="15.85546875" style="1491" customWidth="1"/>
    <col min="14090" max="14090" width="9.140625" style="1491" customWidth="1"/>
    <col min="14091" max="14091" width="13.5703125" style="1491" bestFit="1" customWidth="1"/>
    <col min="14092" max="14335" width="9.140625" style="1491"/>
    <col min="14336" max="14336" width="6.5703125" style="1491" customWidth="1"/>
    <col min="14337" max="14337" width="42.7109375" style="1491" customWidth="1"/>
    <col min="14338" max="14338" width="12.140625" style="1491" customWidth="1"/>
    <col min="14339" max="14339" width="14.85546875" style="1491" customWidth="1"/>
    <col min="14340" max="14340" width="13.140625" style="1491" customWidth="1"/>
    <col min="14341" max="14341" width="31.5703125" style="1491" customWidth="1"/>
    <col min="14342" max="14342" width="0" style="1491" hidden="1" customWidth="1"/>
    <col min="14343" max="14343" width="15.28515625" style="1491" customWidth="1"/>
    <col min="14344" max="14344" width="14.42578125" style="1491" customWidth="1"/>
    <col min="14345" max="14345" width="15.85546875" style="1491" customWidth="1"/>
    <col min="14346" max="14346" width="9.140625" style="1491" customWidth="1"/>
    <col min="14347" max="14347" width="13.5703125" style="1491" bestFit="1" customWidth="1"/>
    <col min="14348" max="14591" width="9.140625" style="1491"/>
    <col min="14592" max="14592" width="6.5703125" style="1491" customWidth="1"/>
    <col min="14593" max="14593" width="42.7109375" style="1491" customWidth="1"/>
    <col min="14594" max="14594" width="12.140625" style="1491" customWidth="1"/>
    <col min="14595" max="14595" width="14.85546875" style="1491" customWidth="1"/>
    <col min="14596" max="14596" width="13.140625" style="1491" customWidth="1"/>
    <col min="14597" max="14597" width="31.5703125" style="1491" customWidth="1"/>
    <col min="14598" max="14598" width="0" style="1491" hidden="1" customWidth="1"/>
    <col min="14599" max="14599" width="15.28515625" style="1491" customWidth="1"/>
    <col min="14600" max="14600" width="14.42578125" style="1491" customWidth="1"/>
    <col min="14601" max="14601" width="15.85546875" style="1491" customWidth="1"/>
    <col min="14602" max="14602" width="9.140625" style="1491" customWidth="1"/>
    <col min="14603" max="14603" width="13.5703125" style="1491" bestFit="1" customWidth="1"/>
    <col min="14604" max="14847" width="9.140625" style="1491"/>
    <col min="14848" max="14848" width="6.5703125" style="1491" customWidth="1"/>
    <col min="14849" max="14849" width="42.7109375" style="1491" customWidth="1"/>
    <col min="14850" max="14850" width="12.140625" style="1491" customWidth="1"/>
    <col min="14851" max="14851" width="14.85546875" style="1491" customWidth="1"/>
    <col min="14852" max="14852" width="13.140625" style="1491" customWidth="1"/>
    <col min="14853" max="14853" width="31.5703125" style="1491" customWidth="1"/>
    <col min="14854" max="14854" width="0" style="1491" hidden="1" customWidth="1"/>
    <col min="14855" max="14855" width="15.28515625" style="1491" customWidth="1"/>
    <col min="14856" max="14856" width="14.42578125" style="1491" customWidth="1"/>
    <col min="14857" max="14857" width="15.85546875" style="1491" customWidth="1"/>
    <col min="14858" max="14858" width="9.140625" style="1491" customWidth="1"/>
    <col min="14859" max="14859" width="13.5703125" style="1491" bestFit="1" customWidth="1"/>
    <col min="14860" max="15103" width="9.140625" style="1491"/>
    <col min="15104" max="15104" width="6.5703125" style="1491" customWidth="1"/>
    <col min="15105" max="15105" width="42.7109375" style="1491" customWidth="1"/>
    <col min="15106" max="15106" width="12.140625" style="1491" customWidth="1"/>
    <col min="15107" max="15107" width="14.85546875" style="1491" customWidth="1"/>
    <col min="15108" max="15108" width="13.140625" style="1491" customWidth="1"/>
    <col min="15109" max="15109" width="31.5703125" style="1491" customWidth="1"/>
    <col min="15110" max="15110" width="0" style="1491" hidden="1" customWidth="1"/>
    <col min="15111" max="15111" width="15.28515625" style="1491" customWidth="1"/>
    <col min="15112" max="15112" width="14.42578125" style="1491" customWidth="1"/>
    <col min="15113" max="15113" width="15.85546875" style="1491" customWidth="1"/>
    <col min="15114" max="15114" width="9.140625" style="1491" customWidth="1"/>
    <col min="15115" max="15115" width="13.5703125" style="1491" bestFit="1" customWidth="1"/>
    <col min="15116" max="15359" width="9.140625" style="1491"/>
    <col min="15360" max="15360" width="6.5703125" style="1491" customWidth="1"/>
    <col min="15361" max="15361" width="42.7109375" style="1491" customWidth="1"/>
    <col min="15362" max="15362" width="12.140625" style="1491" customWidth="1"/>
    <col min="15363" max="15363" width="14.85546875" style="1491" customWidth="1"/>
    <col min="15364" max="15364" width="13.140625" style="1491" customWidth="1"/>
    <col min="15365" max="15365" width="31.5703125" style="1491" customWidth="1"/>
    <col min="15366" max="15366" width="0" style="1491" hidden="1" customWidth="1"/>
    <col min="15367" max="15367" width="15.28515625" style="1491" customWidth="1"/>
    <col min="15368" max="15368" width="14.42578125" style="1491" customWidth="1"/>
    <col min="15369" max="15369" width="15.85546875" style="1491" customWidth="1"/>
    <col min="15370" max="15370" width="9.140625" style="1491" customWidth="1"/>
    <col min="15371" max="15371" width="13.5703125" style="1491" bestFit="1" customWidth="1"/>
    <col min="15372" max="15615" width="9.140625" style="1491"/>
    <col min="15616" max="15616" width="6.5703125" style="1491" customWidth="1"/>
    <col min="15617" max="15617" width="42.7109375" style="1491" customWidth="1"/>
    <col min="15618" max="15618" width="12.140625" style="1491" customWidth="1"/>
    <col min="15619" max="15619" width="14.85546875" style="1491" customWidth="1"/>
    <col min="15620" max="15620" width="13.140625" style="1491" customWidth="1"/>
    <col min="15621" max="15621" width="31.5703125" style="1491" customWidth="1"/>
    <col min="15622" max="15622" width="0" style="1491" hidden="1" customWidth="1"/>
    <col min="15623" max="15623" width="15.28515625" style="1491" customWidth="1"/>
    <col min="15624" max="15624" width="14.42578125" style="1491" customWidth="1"/>
    <col min="15625" max="15625" width="15.85546875" style="1491" customWidth="1"/>
    <col min="15626" max="15626" width="9.140625" style="1491" customWidth="1"/>
    <col min="15627" max="15627" width="13.5703125" style="1491" bestFit="1" customWidth="1"/>
    <col min="15628" max="15871" width="9.140625" style="1491"/>
    <col min="15872" max="15872" width="6.5703125" style="1491" customWidth="1"/>
    <col min="15873" max="15873" width="42.7109375" style="1491" customWidth="1"/>
    <col min="15874" max="15874" width="12.140625" style="1491" customWidth="1"/>
    <col min="15875" max="15875" width="14.85546875" style="1491" customWidth="1"/>
    <col min="15876" max="15876" width="13.140625" style="1491" customWidth="1"/>
    <col min="15877" max="15877" width="31.5703125" style="1491" customWidth="1"/>
    <col min="15878" max="15878" width="0" style="1491" hidden="1" customWidth="1"/>
    <col min="15879" max="15879" width="15.28515625" style="1491" customWidth="1"/>
    <col min="15880" max="15880" width="14.42578125" style="1491" customWidth="1"/>
    <col min="15881" max="15881" width="15.85546875" style="1491" customWidth="1"/>
    <col min="15882" max="15882" width="9.140625" style="1491" customWidth="1"/>
    <col min="15883" max="15883" width="13.5703125" style="1491" bestFit="1" customWidth="1"/>
    <col min="15884" max="16127" width="9.140625" style="1491"/>
    <col min="16128" max="16128" width="6.5703125" style="1491" customWidth="1"/>
    <col min="16129" max="16129" width="42.7109375" style="1491" customWidth="1"/>
    <col min="16130" max="16130" width="12.140625" style="1491" customWidth="1"/>
    <col min="16131" max="16131" width="14.85546875" style="1491" customWidth="1"/>
    <col min="16132" max="16132" width="13.140625" style="1491" customWidth="1"/>
    <col min="16133" max="16133" width="31.5703125" style="1491" customWidth="1"/>
    <col min="16134" max="16134" width="0" style="1491" hidden="1" customWidth="1"/>
    <col min="16135" max="16135" width="15.28515625" style="1491" customWidth="1"/>
    <col min="16136" max="16136" width="14.42578125" style="1491" customWidth="1"/>
    <col min="16137" max="16137" width="15.85546875" style="1491" customWidth="1"/>
    <col min="16138" max="16138" width="9.140625" style="1491" customWidth="1"/>
    <col min="16139" max="16139" width="13.5703125" style="1491" bestFit="1" customWidth="1"/>
    <col min="16140" max="16384" width="9.140625" style="1491"/>
  </cols>
  <sheetData>
    <row r="2" spans="1:36" ht="18.75">
      <c r="A2" s="1956" t="s">
        <v>1024</v>
      </c>
      <c r="B2" s="1956"/>
      <c r="C2" s="1956"/>
      <c r="D2" s="1956"/>
      <c r="E2" s="1956"/>
      <c r="F2" s="1485"/>
      <c r="G2" s="1486"/>
      <c r="H2" s="1485"/>
      <c r="I2" s="1485"/>
    </row>
    <row r="3" spans="1:36" ht="18.75">
      <c r="A3" s="1493"/>
      <c r="B3" s="1493"/>
      <c r="C3" s="1493"/>
      <c r="D3" s="1493"/>
      <c r="E3" s="1493"/>
      <c r="F3" s="1492"/>
    </row>
    <row r="5" spans="1:36" ht="12.75" customHeight="1">
      <c r="A5" s="1635" t="s">
        <v>866</v>
      </c>
      <c r="B5" s="1635" t="s">
        <v>867</v>
      </c>
      <c r="C5" s="1636" t="s">
        <v>868</v>
      </c>
      <c r="D5" s="1636" t="s">
        <v>869</v>
      </c>
      <c r="E5" s="1637" t="s">
        <v>1023</v>
      </c>
      <c r="F5" s="1496"/>
    </row>
    <row r="6" spans="1:36" s="1485" customFormat="1">
      <c r="A6" s="1497" t="s">
        <v>768</v>
      </c>
      <c r="B6" s="1498" t="s">
        <v>871</v>
      </c>
      <c r="C6" s="1499"/>
      <c r="D6" s="1500">
        <f>D7+D9+D11</f>
        <v>0</v>
      </c>
      <c r="E6" s="1500">
        <f>E7+E9+E11</f>
        <v>10645342000</v>
      </c>
      <c r="F6" s="1501"/>
      <c r="G6" s="1502"/>
      <c r="H6" s="1503"/>
      <c r="I6" s="1503"/>
      <c r="J6" s="1503"/>
      <c r="K6" s="1503"/>
      <c r="L6" s="1503"/>
      <c r="M6" s="1503"/>
      <c r="N6" s="1503"/>
      <c r="O6" s="1503"/>
      <c r="P6" s="1503"/>
      <c r="Q6" s="1503"/>
      <c r="R6" s="1503"/>
      <c r="S6" s="1503"/>
      <c r="T6" s="1503"/>
      <c r="U6" s="1503"/>
      <c r="V6" s="1503"/>
      <c r="W6" s="1503"/>
      <c r="X6" s="1503"/>
      <c r="Y6" s="1503"/>
      <c r="Z6" s="1503"/>
      <c r="AA6" s="1503"/>
      <c r="AB6" s="1503"/>
      <c r="AC6" s="1503"/>
      <c r="AD6" s="1503"/>
      <c r="AE6" s="1504"/>
      <c r="AF6" s="1502"/>
      <c r="AG6" s="1502"/>
      <c r="AH6" s="1502"/>
      <c r="AI6" s="1505"/>
      <c r="AJ6" s="1505"/>
    </row>
    <row r="7" spans="1:36">
      <c r="A7" s="1506">
        <v>1</v>
      </c>
      <c r="B7" s="1507" t="s">
        <v>872</v>
      </c>
      <c r="C7" s="1508">
        <v>139</v>
      </c>
      <c r="D7" s="1509"/>
      <c r="E7" s="1509">
        <f>E8</f>
        <v>1084640000</v>
      </c>
      <c r="F7" s="1510" t="e">
        <f>#REF!+#REF!+#REF!+40000</f>
        <v>#REF!</v>
      </c>
    </row>
    <row r="8" spans="1:36" ht="25.5">
      <c r="A8" s="1506"/>
      <c r="B8" s="1507" t="s">
        <v>873</v>
      </c>
      <c r="C8" s="1508"/>
      <c r="D8" s="1509"/>
      <c r="E8" s="1509">
        <f>Sheet2!G8</f>
        <v>1084640000</v>
      </c>
      <c r="F8" s="1510"/>
    </row>
    <row r="9" spans="1:36">
      <c r="A9" s="1506">
        <v>2</v>
      </c>
      <c r="B9" s="1507" t="s">
        <v>874</v>
      </c>
      <c r="C9" s="1508">
        <v>139</v>
      </c>
      <c r="D9" s="1509"/>
      <c r="E9" s="1511">
        <f>E10</f>
        <v>2665000000</v>
      </c>
      <c r="F9" s="1510"/>
    </row>
    <row r="10" spans="1:36" ht="25.5">
      <c r="A10" s="1506"/>
      <c r="B10" s="1507" t="s">
        <v>873</v>
      </c>
      <c r="C10" s="1508"/>
      <c r="D10" s="1509"/>
      <c r="E10" s="1511">
        <f>Sheet2!G6</f>
        <v>2665000000</v>
      </c>
      <c r="F10" s="1510"/>
    </row>
    <row r="11" spans="1:36">
      <c r="A11" s="1506">
        <v>3</v>
      </c>
      <c r="B11" s="1507" t="s">
        <v>876</v>
      </c>
      <c r="C11" s="1511">
        <v>151</v>
      </c>
      <c r="D11" s="1509"/>
      <c r="E11" s="1511">
        <f>E12</f>
        <v>6895702000</v>
      </c>
      <c r="F11" s="1510"/>
    </row>
    <row r="12" spans="1:36" ht="25.5">
      <c r="A12" s="1506"/>
      <c r="B12" s="1507" t="s">
        <v>873</v>
      </c>
      <c r="C12" s="1511"/>
      <c r="D12" s="1509"/>
      <c r="E12" s="1511">
        <f>Sheet2!G7</f>
        <v>6895702000</v>
      </c>
      <c r="F12" s="1510"/>
    </row>
    <row r="13" spans="1:36" s="1485" customFormat="1">
      <c r="A13" s="1512" t="s">
        <v>804</v>
      </c>
      <c r="B13" s="1513" t="s">
        <v>877</v>
      </c>
      <c r="C13" s="1514"/>
      <c r="D13" s="1515">
        <f>D14+D32</f>
        <v>45586000000</v>
      </c>
      <c r="E13" s="1515">
        <f>E14+E32+E23</f>
        <v>23554764000</v>
      </c>
      <c r="F13" s="1516"/>
      <c r="G13" s="1502"/>
      <c r="H13" s="1503"/>
      <c r="I13" s="1503"/>
      <c r="J13" s="1503"/>
      <c r="K13" s="1503"/>
      <c r="L13" s="1503"/>
      <c r="M13" s="1503"/>
      <c r="N13" s="1503"/>
      <c r="O13" s="1503"/>
      <c r="P13" s="1503"/>
      <c r="Q13" s="1503"/>
      <c r="R13" s="1503"/>
      <c r="S13" s="1503"/>
      <c r="T13" s="1503"/>
      <c r="U13" s="1503"/>
      <c r="V13" s="1503"/>
      <c r="W13" s="1503"/>
      <c r="X13" s="1503"/>
      <c r="Y13" s="1503"/>
      <c r="Z13" s="1503"/>
      <c r="AA13" s="1503"/>
      <c r="AB13" s="1503"/>
      <c r="AC13" s="1503"/>
      <c r="AD13" s="1503"/>
      <c r="AE13" s="1504"/>
      <c r="AF13" s="1502"/>
      <c r="AG13" s="1502"/>
      <c r="AH13" s="1502"/>
      <c r="AI13" s="1505"/>
      <c r="AJ13" s="1505"/>
    </row>
    <row r="14" spans="1:36" s="1485" customFormat="1">
      <c r="A14" s="1517" t="s">
        <v>878</v>
      </c>
      <c r="B14" s="1518" t="s">
        <v>879</v>
      </c>
      <c r="C14" s="1514"/>
      <c r="D14" s="1515">
        <f>D15+D19+D23+D26+D28+D30</f>
        <v>45586000000</v>
      </c>
      <c r="E14" s="1515">
        <f>E15+E19+E26+E28+E30+E23</f>
        <v>10319157000</v>
      </c>
      <c r="F14" s="1501" t="e">
        <f>#REF!</f>
        <v>#REF!</v>
      </c>
      <c r="G14" s="1502"/>
      <c r="H14" s="1503">
        <f>D162</f>
        <v>0</v>
      </c>
      <c r="I14" s="1503"/>
      <c r="J14" s="1503"/>
      <c r="K14" s="1503"/>
      <c r="L14" s="1503"/>
      <c r="M14" s="1503"/>
      <c r="N14" s="1503"/>
      <c r="O14" s="1503"/>
      <c r="P14" s="1503"/>
      <c r="Q14" s="1503"/>
      <c r="R14" s="1503"/>
      <c r="S14" s="1503"/>
      <c r="T14" s="1503"/>
      <c r="U14" s="1503"/>
      <c r="V14" s="1503"/>
      <c r="W14" s="1503"/>
      <c r="X14" s="1503"/>
      <c r="Y14" s="1503"/>
      <c r="Z14" s="1503"/>
      <c r="AA14" s="1503"/>
      <c r="AB14" s="1503"/>
      <c r="AC14" s="1503"/>
      <c r="AD14" s="1503"/>
      <c r="AE14" s="1504"/>
      <c r="AF14" s="1502"/>
      <c r="AG14" s="1502"/>
      <c r="AH14" s="1502"/>
      <c r="AI14" s="1505"/>
      <c r="AJ14" s="1505"/>
    </row>
    <row r="15" spans="1:36">
      <c r="A15" s="1506">
        <v>4</v>
      </c>
      <c r="B15" s="1507" t="s">
        <v>880</v>
      </c>
      <c r="C15" s="1508">
        <v>132</v>
      </c>
      <c r="D15" s="1509">
        <f>D16+D17</f>
        <v>0</v>
      </c>
      <c r="E15" s="1509">
        <f>E16+E17+E18</f>
        <v>4285514000</v>
      </c>
      <c r="F15" s="1520"/>
      <c r="G15" s="1489">
        <f>E16+E20+E24+E27</f>
        <v>6792852000</v>
      </c>
      <c r="H15" s="1487">
        <f>E14-G15-G17-G20-G21</f>
        <v>0</v>
      </c>
    </row>
    <row r="16" spans="1:36">
      <c r="A16" s="1506"/>
      <c r="B16" s="1507" t="s">
        <v>881</v>
      </c>
      <c r="C16" s="1508"/>
      <c r="D16" s="1509"/>
      <c r="E16" s="1511">
        <f>'năm 2021 họp GĐ (phân bổ chíức)'!I8</f>
        <v>3430952000</v>
      </c>
      <c r="F16" s="1520"/>
    </row>
    <row r="17" spans="1:36" ht="38.25">
      <c r="A17" s="1506"/>
      <c r="B17" s="1507" t="s">
        <v>882</v>
      </c>
      <c r="C17" s="1508"/>
      <c r="D17" s="1509"/>
      <c r="E17" s="1511">
        <v>121190000</v>
      </c>
      <c r="F17" s="1520"/>
      <c r="G17" s="1489">
        <f>E17+E21+E25</f>
        <v>952090000</v>
      </c>
    </row>
    <row r="18" spans="1:36" ht="25.5">
      <c r="A18" s="1506"/>
      <c r="B18" s="1507" t="s">
        <v>1021</v>
      </c>
      <c r="C18" s="1508"/>
      <c r="D18" s="1509"/>
      <c r="E18" s="1511">
        <f>Sheet2!G2</f>
        <v>733372000</v>
      </c>
      <c r="F18" s="1520"/>
    </row>
    <row r="19" spans="1:36">
      <c r="A19" s="1506">
        <v>5</v>
      </c>
      <c r="B19" s="1507" t="s">
        <v>883</v>
      </c>
      <c r="C19" s="1508">
        <v>132</v>
      </c>
      <c r="D19" s="1509">
        <v>28500000000</v>
      </c>
      <c r="E19" s="1511">
        <f>E20+E21+E22</f>
        <v>3463438000</v>
      </c>
      <c r="F19" s="1520"/>
    </row>
    <row r="20" spans="1:36">
      <c r="A20" s="1506"/>
      <c r="B20" s="1507" t="s">
        <v>881</v>
      </c>
      <c r="C20" s="1508"/>
      <c r="D20" s="1509"/>
      <c r="E20" s="1511">
        <f>'năm 2021 họp GĐ (phân bổ chíức)'!I11</f>
        <v>1908866000</v>
      </c>
      <c r="F20" s="1520"/>
      <c r="G20" s="1489">
        <f>E29</f>
        <v>374099000</v>
      </c>
    </row>
    <row r="21" spans="1:36" ht="38.25">
      <c r="A21" s="1506"/>
      <c r="B21" s="1507" t="s">
        <v>882</v>
      </c>
      <c r="C21" s="1508"/>
      <c r="D21" s="1509"/>
      <c r="E21" s="1511">
        <v>821200000</v>
      </c>
      <c r="F21" s="1520"/>
      <c r="G21" s="1489">
        <f>E22+E18+E31</f>
        <v>2200116000</v>
      </c>
    </row>
    <row r="22" spans="1:36" ht="25.5">
      <c r="A22" s="1506"/>
      <c r="B22" s="1507" t="s">
        <v>1021</v>
      </c>
      <c r="C22" s="1508"/>
      <c r="D22" s="1509"/>
      <c r="E22" s="1511">
        <f>Sheet2!G3</f>
        <v>733372000</v>
      </c>
      <c r="F22" s="1520"/>
    </row>
    <row r="23" spans="1:36">
      <c r="A23" s="1506">
        <v>6</v>
      </c>
      <c r="B23" s="1507" t="s">
        <v>884</v>
      </c>
      <c r="C23" s="1508">
        <v>132</v>
      </c>
      <c r="D23" s="1509">
        <v>6066000000</v>
      </c>
      <c r="E23" s="1511">
        <f>E24+E25</f>
        <v>755283000</v>
      </c>
      <c r="F23" s="1520"/>
    </row>
    <row r="24" spans="1:36">
      <c r="A24" s="1506"/>
      <c r="B24" s="1507" t="s">
        <v>881</v>
      </c>
      <c r="C24" s="1508"/>
      <c r="D24" s="1509"/>
      <c r="E24" s="1511">
        <f>'năm 2021 họp GĐ (phân bổ chíức)'!I14</f>
        <v>745583000</v>
      </c>
      <c r="F24" s="1520"/>
    </row>
    <row r="25" spans="1:36" ht="38.25">
      <c r="A25" s="1506"/>
      <c r="B25" s="1507" t="s">
        <v>882</v>
      </c>
      <c r="C25" s="1508"/>
      <c r="D25" s="1509"/>
      <c r="E25" s="1511">
        <v>9700000</v>
      </c>
      <c r="F25" s="1520"/>
    </row>
    <row r="26" spans="1:36">
      <c r="A26" s="1506">
        <v>7</v>
      </c>
      <c r="B26" s="1507" t="s">
        <v>885</v>
      </c>
      <c r="C26" s="1508">
        <v>132</v>
      </c>
      <c r="D26" s="1509">
        <v>3079000000</v>
      </c>
      <c r="E26" s="1511">
        <f>E27</f>
        <v>707451000</v>
      </c>
      <c r="F26" s="1520"/>
    </row>
    <row r="27" spans="1:36">
      <c r="A27" s="1506"/>
      <c r="B27" s="1507" t="s">
        <v>881</v>
      </c>
      <c r="C27" s="1508"/>
      <c r="D27" s="1509"/>
      <c r="E27" s="1511">
        <f>'năm 2021 họp GĐ (phân bổ chíức)'!I19</f>
        <v>707451000</v>
      </c>
      <c r="F27" s="1520"/>
    </row>
    <row r="28" spans="1:36">
      <c r="A28" s="1506">
        <v>8</v>
      </c>
      <c r="B28" s="1507" t="s">
        <v>825</v>
      </c>
      <c r="C28" s="1508">
        <v>132</v>
      </c>
      <c r="D28" s="1509">
        <v>3613000000</v>
      </c>
      <c r="E28" s="1511">
        <f>E29</f>
        <v>374099000</v>
      </c>
      <c r="F28" s="1520"/>
    </row>
    <row r="29" spans="1:36" ht="25.5">
      <c r="A29" s="1506"/>
      <c r="B29" s="1507" t="s">
        <v>873</v>
      </c>
      <c r="C29" s="1508"/>
      <c r="D29" s="1509"/>
      <c r="E29" s="1511">
        <f>Sheet2!G9</f>
        <v>374099000</v>
      </c>
      <c r="F29" s="1520"/>
    </row>
    <row r="30" spans="1:36">
      <c r="A30" s="1506">
        <v>9</v>
      </c>
      <c r="B30" s="1507" t="s">
        <v>886</v>
      </c>
      <c r="C30" s="1508">
        <v>132</v>
      </c>
      <c r="D30" s="1509">
        <v>4328000000</v>
      </c>
      <c r="E30" s="1511">
        <f>E31</f>
        <v>733372000</v>
      </c>
      <c r="F30" s="1520"/>
    </row>
    <row r="31" spans="1:36" ht="25.5">
      <c r="A31" s="1506"/>
      <c r="B31" s="1507" t="s">
        <v>1021</v>
      </c>
      <c r="C31" s="1508"/>
      <c r="D31" s="1509"/>
      <c r="E31" s="1511">
        <f>Sheet2!G4</f>
        <v>733372000</v>
      </c>
      <c r="F31" s="1520"/>
    </row>
    <row r="32" spans="1:36" s="1485" customFormat="1">
      <c r="A32" s="1517" t="s">
        <v>887</v>
      </c>
      <c r="B32" s="1518" t="s">
        <v>888</v>
      </c>
      <c r="C32" s="1515"/>
      <c r="D32" s="1515">
        <f>D33+D37</f>
        <v>0</v>
      </c>
      <c r="E32" s="1515">
        <f>E33+E37</f>
        <v>12480324000</v>
      </c>
      <c r="F32" s="1501" t="e">
        <f>#REF!+#REF!</f>
        <v>#REF!</v>
      </c>
      <c r="G32" s="1502"/>
      <c r="H32" s="1503"/>
      <c r="I32" s="1503"/>
      <c r="J32" s="1503"/>
      <c r="K32" s="1503"/>
      <c r="L32" s="1503"/>
      <c r="M32" s="1503"/>
      <c r="N32" s="1503"/>
      <c r="O32" s="1503"/>
      <c r="P32" s="1503"/>
      <c r="Q32" s="1503"/>
      <c r="R32" s="1503"/>
      <c r="S32" s="1503"/>
      <c r="T32" s="1503"/>
      <c r="U32" s="1503"/>
      <c r="V32" s="1503"/>
      <c r="W32" s="1503"/>
      <c r="X32" s="1503"/>
      <c r="Y32" s="1503"/>
      <c r="Z32" s="1503"/>
      <c r="AA32" s="1503"/>
      <c r="AB32" s="1503"/>
      <c r="AC32" s="1503"/>
      <c r="AD32" s="1503"/>
      <c r="AE32" s="1504"/>
      <c r="AF32" s="1502"/>
      <c r="AG32" s="1502"/>
      <c r="AH32" s="1502"/>
      <c r="AI32" s="1505"/>
      <c r="AJ32" s="1505"/>
    </row>
    <row r="33" spans="1:36" s="1485" customFormat="1">
      <c r="A33" s="1506">
        <v>10</v>
      </c>
      <c r="B33" s="1518" t="s">
        <v>821</v>
      </c>
      <c r="C33" s="1515">
        <v>131</v>
      </c>
      <c r="D33" s="1519"/>
      <c r="E33" s="1515">
        <f>E34+E35+E36</f>
        <v>11898183000</v>
      </c>
      <c r="F33" s="1501"/>
      <c r="G33" s="1502"/>
      <c r="H33" s="1503"/>
      <c r="I33" s="1503"/>
      <c r="J33" s="1503"/>
      <c r="K33" s="1503"/>
      <c r="L33" s="1503"/>
      <c r="M33" s="1503"/>
      <c r="N33" s="1503"/>
      <c r="O33" s="1503"/>
      <c r="P33" s="1503"/>
      <c r="Q33" s="1503"/>
      <c r="R33" s="1503"/>
      <c r="S33" s="1503"/>
      <c r="T33" s="1503"/>
      <c r="U33" s="1503"/>
      <c r="V33" s="1503"/>
      <c r="W33" s="1503"/>
      <c r="X33" s="1503"/>
      <c r="Y33" s="1503"/>
      <c r="Z33" s="1503"/>
      <c r="AA33" s="1503"/>
      <c r="AB33" s="1503"/>
      <c r="AC33" s="1503"/>
      <c r="AD33" s="1503"/>
      <c r="AE33" s="1504"/>
      <c r="AF33" s="1502"/>
      <c r="AG33" s="1502"/>
      <c r="AH33" s="1502"/>
      <c r="AI33" s="1505"/>
      <c r="AJ33" s="1505"/>
    </row>
    <row r="34" spans="1:36" s="1485" customFormat="1">
      <c r="A34" s="1506"/>
      <c r="B34" s="1507" t="s">
        <v>881</v>
      </c>
      <c r="C34" s="1515"/>
      <c r="D34" s="1519"/>
      <c r="E34" s="1614">
        <f>'năm 2021 họp GĐ (phân bổ chíức)'!I17</f>
        <v>957000000</v>
      </c>
      <c r="F34" s="1501"/>
      <c r="G34" s="1502">
        <f>E34+E37</f>
        <v>1539141000</v>
      </c>
      <c r="H34" s="1503"/>
      <c r="I34" s="1503"/>
      <c r="J34" s="1503"/>
      <c r="K34" s="1503"/>
      <c r="L34" s="1503"/>
      <c r="M34" s="1503"/>
      <c r="N34" s="1503"/>
      <c r="O34" s="1503"/>
      <c r="P34" s="1503"/>
      <c r="Q34" s="1503"/>
      <c r="R34" s="1503"/>
      <c r="S34" s="1503"/>
      <c r="T34" s="1503"/>
      <c r="U34" s="1503"/>
      <c r="V34" s="1503"/>
      <c r="W34" s="1503"/>
      <c r="X34" s="1503"/>
      <c r="Y34" s="1503"/>
      <c r="Z34" s="1503"/>
      <c r="AA34" s="1503"/>
      <c r="AB34" s="1503"/>
      <c r="AC34" s="1503"/>
      <c r="AD34" s="1503"/>
      <c r="AE34" s="1504"/>
      <c r="AF34" s="1502"/>
      <c r="AG34" s="1502"/>
      <c r="AH34" s="1502"/>
      <c r="AI34" s="1505"/>
      <c r="AJ34" s="1505"/>
    </row>
    <row r="35" spans="1:36" ht="25.5">
      <c r="A35" s="1508"/>
      <c r="B35" s="1507" t="s">
        <v>873</v>
      </c>
      <c r="C35" s="1511"/>
      <c r="D35" s="1509"/>
      <c r="E35" s="1511">
        <f>Sheet2!G5</f>
        <v>10476820000</v>
      </c>
      <c r="F35" s="1510"/>
    </row>
    <row r="36" spans="1:36" ht="25.5">
      <c r="A36" s="1508"/>
      <c r="B36" s="1507" t="s">
        <v>1017</v>
      </c>
      <c r="C36" s="1511"/>
      <c r="D36" s="1509"/>
      <c r="E36" s="1511">
        <v>464363000</v>
      </c>
      <c r="F36" s="1510"/>
    </row>
    <row r="37" spans="1:36">
      <c r="A37" s="1506">
        <v>11</v>
      </c>
      <c r="B37" s="1507" t="s">
        <v>830</v>
      </c>
      <c r="C37" s="1508">
        <v>139</v>
      </c>
      <c r="D37" s="1509"/>
      <c r="E37" s="1511">
        <f>E38</f>
        <v>582141000</v>
      </c>
      <c r="F37" s="1520"/>
    </row>
    <row r="38" spans="1:36">
      <c r="A38" s="1506"/>
      <c r="B38" s="1507" t="s">
        <v>895</v>
      </c>
      <c r="C38" s="1508"/>
      <c r="D38" s="1509"/>
      <c r="E38" s="1511">
        <f>'năm 2021 họp GĐ (phân bổ chíức)'!I24</f>
        <v>582141000</v>
      </c>
      <c r="F38" s="1520"/>
    </row>
    <row r="39" spans="1:36" s="1485" customFormat="1" ht="25.5">
      <c r="A39" s="1517" t="s">
        <v>815</v>
      </c>
      <c r="B39" s="1518" t="s">
        <v>890</v>
      </c>
      <c r="C39" s="1514"/>
      <c r="D39" s="1515">
        <f>D40+D43+D45</f>
        <v>49893000000</v>
      </c>
      <c r="E39" s="1619">
        <f>E40+E43+E45</f>
        <v>69989001077</v>
      </c>
      <c r="F39" s="1501"/>
      <c r="G39" s="1502"/>
      <c r="H39" s="1503"/>
      <c r="I39" s="1503"/>
      <c r="J39" s="1503"/>
      <c r="K39" s="1503"/>
      <c r="L39" s="1503"/>
      <c r="M39" s="1503"/>
      <c r="N39" s="1503"/>
      <c r="O39" s="1503"/>
      <c r="P39" s="1503"/>
      <c r="Q39" s="1503"/>
      <c r="R39" s="1503"/>
      <c r="S39" s="1503"/>
      <c r="T39" s="1503"/>
      <c r="U39" s="1503"/>
      <c r="V39" s="1503"/>
      <c r="W39" s="1503"/>
      <c r="X39" s="1503"/>
      <c r="Y39" s="1503"/>
      <c r="Z39" s="1503"/>
      <c r="AA39" s="1503"/>
      <c r="AB39" s="1503"/>
      <c r="AC39" s="1503"/>
      <c r="AD39" s="1503"/>
      <c r="AE39" s="1504"/>
      <c r="AF39" s="1502"/>
      <c r="AG39" s="1502"/>
      <c r="AH39" s="1502"/>
      <c r="AI39" s="1505"/>
      <c r="AJ39" s="1505"/>
    </row>
    <row r="40" spans="1:36">
      <c r="A40" s="1506">
        <v>1</v>
      </c>
      <c r="B40" s="1521" t="s">
        <v>879</v>
      </c>
      <c r="C40" s="1514"/>
      <c r="D40" s="1511">
        <f>D48+D55+D62+D69+D77+D85+D92+D99+D105+D112+D119+D126</f>
        <v>49893000000</v>
      </c>
      <c r="E40" s="1620">
        <f>E48+E55+E62+E69+E77+E85+E92+E99+E105+E112+E119+E126</f>
        <v>21161767687</v>
      </c>
      <c r="F40" s="1510"/>
    </row>
    <row r="41" spans="1:36">
      <c r="A41" s="1506"/>
      <c r="B41" s="1507" t="s">
        <v>881</v>
      </c>
      <c r="C41" s="1514"/>
      <c r="D41" s="1511"/>
      <c r="E41" s="1620">
        <f>E49+E56+E63+E70+E78+E86+E93+E106+E113++E120+E127</f>
        <v>21114007000</v>
      </c>
      <c r="F41" s="1510"/>
    </row>
    <row r="42" spans="1:36" ht="38.25">
      <c r="A42" s="1506"/>
      <c r="B42" s="1507" t="s">
        <v>882</v>
      </c>
      <c r="C42" s="1514"/>
      <c r="D42" s="1511"/>
      <c r="E42" s="1620">
        <f>E71+E79</f>
        <v>47760687</v>
      </c>
      <c r="F42" s="1510"/>
    </row>
    <row r="43" spans="1:36">
      <c r="A43" s="1506">
        <v>2</v>
      </c>
      <c r="B43" s="1521" t="s">
        <v>891</v>
      </c>
      <c r="C43" s="1514"/>
      <c r="D43" s="1511">
        <f>D50+D57+D64+D72+D80+D87+D94+D100+D107+D114+D121+D128</f>
        <v>0</v>
      </c>
      <c r="E43" s="1620">
        <f>E50+E57+E64+E72+E80+E87+E94+E100+E107+E114+E121+E128</f>
        <v>44350633390</v>
      </c>
      <c r="F43" s="1510"/>
    </row>
    <row r="44" spans="1:36" ht="25.5">
      <c r="A44" s="1506"/>
      <c r="B44" s="1507" t="s">
        <v>875</v>
      </c>
      <c r="C44" s="1514"/>
      <c r="D44" s="1511">
        <f>D51+D58+D65+D73+D81+D88+D95+D101+D108+D115+D122+D129</f>
        <v>0</v>
      </c>
      <c r="E44" s="1620">
        <f>E51+E58+E65+E73+E81+E88+E95+E101+E108+E115+E122+E129</f>
        <v>44350633390</v>
      </c>
      <c r="F44" s="1510"/>
    </row>
    <row r="45" spans="1:36">
      <c r="A45" s="1506">
        <v>3</v>
      </c>
      <c r="B45" s="1521" t="s">
        <v>892</v>
      </c>
      <c r="C45" s="1514">
        <v>151</v>
      </c>
      <c r="D45" s="1511"/>
      <c r="E45" s="1620">
        <f>E46</f>
        <v>4476600000</v>
      </c>
      <c r="F45" s="1510"/>
    </row>
    <row r="46" spans="1:36">
      <c r="A46" s="1506"/>
      <c r="B46" s="1521" t="s">
        <v>893</v>
      </c>
      <c r="C46" s="1514"/>
      <c r="D46" s="1511"/>
      <c r="E46" s="1620">
        <f>E53+E60+E67+E75+E83+E90+E97+E103+E110+E117+E124+E131</f>
        <v>4476600000</v>
      </c>
      <c r="F46" s="1510"/>
    </row>
    <row r="47" spans="1:36" s="1529" customFormat="1" ht="13.5">
      <c r="A47" s="1522">
        <v>12</v>
      </c>
      <c r="B47" s="1523" t="s">
        <v>727</v>
      </c>
      <c r="C47" s="1524"/>
      <c r="D47" s="1515">
        <f>D48+D50+D52</f>
        <v>4215000000</v>
      </c>
      <c r="E47" s="1515">
        <f>E48+E50+E52</f>
        <v>7910022600</v>
      </c>
      <c r="F47" s="1516"/>
      <c r="G47" s="1525"/>
      <c r="H47" s="1526"/>
      <c r="I47" s="1526"/>
      <c r="J47" s="1526"/>
      <c r="K47" s="1526"/>
      <c r="L47" s="1526"/>
      <c r="M47" s="1526"/>
      <c r="N47" s="1526"/>
      <c r="O47" s="1526"/>
      <c r="P47" s="1526"/>
      <c r="Q47" s="1526"/>
      <c r="R47" s="1526"/>
      <c r="S47" s="1526"/>
      <c r="T47" s="1526"/>
      <c r="U47" s="1526"/>
      <c r="V47" s="1526"/>
      <c r="W47" s="1526"/>
      <c r="X47" s="1526"/>
      <c r="Y47" s="1526"/>
      <c r="Z47" s="1526"/>
      <c r="AA47" s="1526"/>
      <c r="AB47" s="1526"/>
      <c r="AC47" s="1526"/>
      <c r="AD47" s="1526"/>
      <c r="AE47" s="1527"/>
      <c r="AF47" s="1525"/>
      <c r="AG47" s="1525"/>
      <c r="AH47" s="1525"/>
      <c r="AI47" s="1528"/>
      <c r="AJ47" s="1528"/>
    </row>
    <row r="48" spans="1:36" s="1529" customFormat="1" ht="13.5">
      <c r="A48" s="1506">
        <v>1</v>
      </c>
      <c r="B48" s="1521" t="s">
        <v>879</v>
      </c>
      <c r="C48" s="1508">
        <v>132</v>
      </c>
      <c r="D48" s="1530">
        <v>4215000000</v>
      </c>
      <c r="E48" s="1515">
        <f>E49</f>
        <v>2134768000</v>
      </c>
      <c r="F48" s="1516"/>
      <c r="G48" s="1525"/>
      <c r="H48" s="1526"/>
      <c r="I48" s="1526"/>
      <c r="J48" s="1526"/>
      <c r="K48" s="1526"/>
      <c r="L48" s="1526"/>
      <c r="M48" s="1526"/>
      <c r="N48" s="1526"/>
      <c r="O48" s="1526"/>
      <c r="P48" s="1526"/>
      <c r="Q48" s="1526"/>
      <c r="R48" s="1526"/>
      <c r="S48" s="1526"/>
      <c r="T48" s="1526"/>
      <c r="U48" s="1526"/>
      <c r="V48" s="1526"/>
      <c r="W48" s="1526"/>
      <c r="X48" s="1526"/>
      <c r="Y48" s="1526"/>
      <c r="Z48" s="1526"/>
      <c r="AA48" s="1526"/>
      <c r="AB48" s="1526"/>
      <c r="AC48" s="1526"/>
      <c r="AD48" s="1526"/>
      <c r="AE48" s="1527"/>
      <c r="AF48" s="1525"/>
      <c r="AG48" s="1525"/>
      <c r="AH48" s="1525"/>
      <c r="AI48" s="1528"/>
      <c r="AJ48" s="1528"/>
    </row>
    <row r="49" spans="1:36" s="1529" customFormat="1" ht="13.5">
      <c r="A49" s="1506"/>
      <c r="B49" s="1521" t="s">
        <v>895</v>
      </c>
      <c r="C49" s="1508"/>
      <c r="D49" s="1530"/>
      <c r="E49" s="1614">
        <f>'năm 2021 họp GĐ (phân bổ chíức)'!I38</f>
        <v>2134768000</v>
      </c>
      <c r="F49" s="1516"/>
      <c r="G49" s="1525"/>
      <c r="H49" s="1526"/>
      <c r="I49" s="1526"/>
      <c r="J49" s="1526"/>
      <c r="K49" s="1526"/>
      <c r="L49" s="1526"/>
      <c r="M49" s="1526"/>
      <c r="N49" s="1526"/>
      <c r="O49" s="1526"/>
      <c r="P49" s="1526"/>
      <c r="Q49" s="1526"/>
      <c r="R49" s="1526"/>
      <c r="S49" s="1526"/>
      <c r="T49" s="1526"/>
      <c r="U49" s="1526"/>
      <c r="V49" s="1526"/>
      <c r="W49" s="1526"/>
      <c r="X49" s="1526"/>
      <c r="Y49" s="1526"/>
      <c r="Z49" s="1526"/>
      <c r="AA49" s="1526"/>
      <c r="AB49" s="1526"/>
      <c r="AC49" s="1526"/>
      <c r="AD49" s="1526"/>
      <c r="AE49" s="1527"/>
      <c r="AF49" s="1525"/>
      <c r="AG49" s="1525"/>
      <c r="AH49" s="1525"/>
      <c r="AI49" s="1528"/>
      <c r="AJ49" s="1528"/>
    </row>
    <row r="50" spans="1:36" s="1529" customFormat="1" ht="13.5">
      <c r="A50" s="1506">
        <v>2</v>
      </c>
      <c r="B50" s="1521" t="s">
        <v>891</v>
      </c>
      <c r="C50" s="1508">
        <v>131</v>
      </c>
      <c r="D50" s="1530"/>
      <c r="E50" s="1614">
        <f>E51</f>
        <v>5235254600</v>
      </c>
      <c r="F50" s="1516"/>
      <c r="G50" s="1525"/>
      <c r="H50" s="1526"/>
      <c r="I50" s="1526"/>
      <c r="J50" s="1526"/>
      <c r="K50" s="1526"/>
      <c r="L50" s="1526"/>
      <c r="M50" s="1526"/>
      <c r="N50" s="1526"/>
      <c r="O50" s="1526"/>
      <c r="P50" s="1526"/>
      <c r="Q50" s="1526"/>
      <c r="R50" s="1526"/>
      <c r="S50" s="1526"/>
      <c r="T50" s="1526"/>
      <c r="U50" s="1526"/>
      <c r="V50" s="1526"/>
      <c r="W50" s="1526"/>
      <c r="X50" s="1526"/>
      <c r="Y50" s="1526"/>
      <c r="Z50" s="1526"/>
      <c r="AA50" s="1526"/>
      <c r="AB50" s="1526"/>
      <c r="AC50" s="1526"/>
      <c r="AD50" s="1526"/>
      <c r="AE50" s="1527"/>
      <c r="AF50" s="1525"/>
      <c r="AG50" s="1525"/>
      <c r="AH50" s="1525"/>
      <c r="AI50" s="1528"/>
      <c r="AJ50" s="1528"/>
    </row>
    <row r="51" spans="1:36" s="1529" customFormat="1" ht="25.5">
      <c r="A51" s="1506"/>
      <c r="B51" s="1507" t="s">
        <v>873</v>
      </c>
      <c r="C51" s="1508"/>
      <c r="D51" s="1530"/>
      <c r="E51" s="1614">
        <f>Sheet2!G10</f>
        <v>5235254600</v>
      </c>
      <c r="F51" s="1516"/>
      <c r="G51" s="1525"/>
      <c r="H51" s="1526"/>
      <c r="I51" s="1526"/>
      <c r="J51" s="1526"/>
      <c r="K51" s="1526"/>
      <c r="L51" s="1526"/>
      <c r="M51" s="1526"/>
      <c r="N51" s="1526"/>
      <c r="O51" s="1526"/>
      <c r="P51" s="1526"/>
      <c r="Q51" s="1526"/>
      <c r="R51" s="1526"/>
      <c r="S51" s="1526"/>
      <c r="T51" s="1526"/>
      <c r="U51" s="1526"/>
      <c r="V51" s="1526"/>
      <c r="W51" s="1526"/>
      <c r="X51" s="1526"/>
      <c r="Y51" s="1526"/>
      <c r="Z51" s="1526"/>
      <c r="AA51" s="1526"/>
      <c r="AB51" s="1526"/>
      <c r="AC51" s="1526"/>
      <c r="AD51" s="1526"/>
      <c r="AE51" s="1527"/>
      <c r="AF51" s="1525"/>
      <c r="AG51" s="1525"/>
      <c r="AH51" s="1525"/>
      <c r="AI51" s="1528"/>
      <c r="AJ51" s="1528"/>
    </row>
    <row r="52" spans="1:36" s="1529" customFormat="1" ht="13.5">
      <c r="A52" s="1506">
        <v>3</v>
      </c>
      <c r="B52" s="1521" t="s">
        <v>892</v>
      </c>
      <c r="C52" s="1508">
        <v>151</v>
      </c>
      <c r="D52" s="1530"/>
      <c r="E52" s="1614">
        <f>E53</f>
        <v>540000000</v>
      </c>
      <c r="F52" s="1516"/>
      <c r="G52" s="1525"/>
      <c r="H52" s="1526"/>
      <c r="I52" s="1526"/>
      <c r="J52" s="1526"/>
      <c r="K52" s="1526"/>
      <c r="L52" s="1526"/>
      <c r="M52" s="1526"/>
      <c r="N52" s="1526"/>
      <c r="O52" s="1526"/>
      <c r="P52" s="1526"/>
      <c r="Q52" s="1526"/>
      <c r="R52" s="1526"/>
      <c r="S52" s="1526"/>
      <c r="T52" s="1526"/>
      <c r="U52" s="1526"/>
      <c r="V52" s="1526"/>
      <c r="W52" s="1526"/>
      <c r="X52" s="1526"/>
      <c r="Y52" s="1526"/>
      <c r="Z52" s="1526"/>
      <c r="AA52" s="1526"/>
      <c r="AB52" s="1526"/>
      <c r="AC52" s="1526"/>
      <c r="AD52" s="1526"/>
      <c r="AE52" s="1527"/>
      <c r="AF52" s="1525"/>
      <c r="AG52" s="1525"/>
      <c r="AH52" s="1525"/>
      <c r="AI52" s="1528"/>
      <c r="AJ52" s="1528"/>
    </row>
    <row r="53" spans="1:36" s="1529" customFormat="1" ht="13.5">
      <c r="A53" s="1506"/>
      <c r="B53" s="1521" t="s">
        <v>893</v>
      </c>
      <c r="C53" s="1508"/>
      <c r="D53" s="1530"/>
      <c r="E53" s="1621">
        <f>'DT giao 2021'!H5</f>
        <v>540000000</v>
      </c>
      <c r="F53" s="1516"/>
      <c r="G53" s="1525"/>
      <c r="H53" s="1526"/>
      <c r="I53" s="1526"/>
      <c r="J53" s="1526"/>
      <c r="K53" s="1526"/>
      <c r="L53" s="1526"/>
      <c r="M53" s="1526"/>
      <c r="N53" s="1526"/>
      <c r="O53" s="1526"/>
      <c r="P53" s="1526"/>
      <c r="Q53" s="1526"/>
      <c r="R53" s="1526"/>
      <c r="S53" s="1526"/>
      <c r="T53" s="1526"/>
      <c r="U53" s="1526"/>
      <c r="V53" s="1526"/>
      <c r="W53" s="1526"/>
      <c r="X53" s="1526"/>
      <c r="Y53" s="1526"/>
      <c r="Z53" s="1526"/>
      <c r="AA53" s="1526"/>
      <c r="AB53" s="1526"/>
      <c r="AC53" s="1526"/>
      <c r="AD53" s="1526"/>
      <c r="AE53" s="1527"/>
      <c r="AF53" s="1525"/>
      <c r="AG53" s="1525"/>
      <c r="AH53" s="1525"/>
      <c r="AI53" s="1528"/>
      <c r="AJ53" s="1528"/>
    </row>
    <row r="54" spans="1:36" s="1529" customFormat="1" ht="13.5">
      <c r="A54" s="1522">
        <v>13</v>
      </c>
      <c r="B54" s="1523" t="s">
        <v>728</v>
      </c>
      <c r="C54" s="1524"/>
      <c r="D54" s="1515">
        <f>D55+D57+D59</f>
        <v>1280000000</v>
      </c>
      <c r="E54" s="1515">
        <f>E55+E57+E59</f>
        <v>4264648604</v>
      </c>
      <c r="F54" s="1510"/>
      <c r="G54" s="1525"/>
      <c r="H54" s="1526"/>
      <c r="I54" s="1526"/>
      <c r="J54" s="1526"/>
      <c r="K54" s="1526"/>
      <c r="L54" s="1526"/>
      <c r="M54" s="1526"/>
      <c r="N54" s="1526"/>
      <c r="O54" s="1526"/>
      <c r="P54" s="1526"/>
      <c r="Q54" s="1526"/>
      <c r="R54" s="1526"/>
      <c r="S54" s="1526"/>
      <c r="T54" s="1526"/>
      <c r="U54" s="1526"/>
      <c r="V54" s="1526"/>
      <c r="W54" s="1526"/>
      <c r="X54" s="1526"/>
      <c r="Y54" s="1526"/>
      <c r="Z54" s="1526"/>
      <c r="AA54" s="1526"/>
      <c r="AB54" s="1526"/>
      <c r="AC54" s="1526"/>
      <c r="AD54" s="1526"/>
      <c r="AE54" s="1527"/>
      <c r="AF54" s="1525"/>
      <c r="AG54" s="1525"/>
      <c r="AH54" s="1525"/>
      <c r="AI54" s="1528"/>
      <c r="AJ54" s="1528"/>
    </row>
    <row r="55" spans="1:36">
      <c r="A55" s="1506">
        <v>1</v>
      </c>
      <c r="B55" s="1521" t="s">
        <v>879</v>
      </c>
      <c r="C55" s="1508">
        <v>132</v>
      </c>
      <c r="D55" s="1509">
        <v>1280000000</v>
      </c>
      <c r="E55" s="1511">
        <f>E56</f>
        <v>1517904000</v>
      </c>
      <c r="F55" s="1510"/>
    </row>
    <row r="56" spans="1:36">
      <c r="A56" s="1506"/>
      <c r="B56" s="1521" t="s">
        <v>895</v>
      </c>
      <c r="C56" s="1508"/>
      <c r="D56" s="1509"/>
      <c r="E56" s="1511">
        <f>'năm 2021 họp GĐ (phân bổ chíức)'!I42</f>
        <v>1517904000</v>
      </c>
      <c r="F56" s="1510"/>
    </row>
    <row r="57" spans="1:36">
      <c r="A57" s="1506">
        <v>2</v>
      </c>
      <c r="B57" s="1521" t="s">
        <v>891</v>
      </c>
      <c r="C57" s="1508">
        <v>131</v>
      </c>
      <c r="D57" s="1509"/>
      <c r="E57" s="1511">
        <f>E58</f>
        <v>2678344604</v>
      </c>
      <c r="F57" s="1510"/>
    </row>
    <row r="58" spans="1:36" ht="25.5">
      <c r="A58" s="1531"/>
      <c r="B58" s="1507" t="s">
        <v>873</v>
      </c>
      <c r="C58" s="1508"/>
      <c r="D58" s="1509"/>
      <c r="E58" s="1511">
        <f>Sheet2!G11</f>
        <v>2678344604</v>
      </c>
      <c r="F58" s="1510"/>
    </row>
    <row r="59" spans="1:36">
      <c r="A59" s="1506">
        <v>3</v>
      </c>
      <c r="B59" s="1521" t="s">
        <v>892</v>
      </c>
      <c r="C59" s="1508">
        <v>151</v>
      </c>
      <c r="D59" s="1509"/>
      <c r="E59" s="1511">
        <f>E60</f>
        <v>68400000</v>
      </c>
      <c r="F59" s="1510"/>
    </row>
    <row r="60" spans="1:36">
      <c r="A60" s="1506"/>
      <c r="B60" s="1521" t="s">
        <v>893</v>
      </c>
      <c r="C60" s="1508"/>
      <c r="D60" s="1509"/>
      <c r="E60" s="1620">
        <f>'DT giao 2021'!H6</f>
        <v>68400000</v>
      </c>
      <c r="F60" s="1510"/>
    </row>
    <row r="61" spans="1:36" s="1529" customFormat="1" ht="13.5">
      <c r="A61" s="1522">
        <v>14</v>
      </c>
      <c r="B61" s="1523" t="s">
        <v>729</v>
      </c>
      <c r="C61" s="1524"/>
      <c r="D61" s="1515">
        <f>D62+D64+D66</f>
        <v>6892000000</v>
      </c>
      <c r="E61" s="1515">
        <f>E62+E64+E66</f>
        <v>5666369300</v>
      </c>
      <c r="F61" s="1510"/>
      <c r="G61" s="1525"/>
      <c r="H61" s="1526"/>
      <c r="I61" s="1526"/>
      <c r="J61" s="1526"/>
      <c r="K61" s="1526"/>
      <c r="L61" s="1526"/>
      <c r="M61" s="1526"/>
      <c r="N61" s="1526"/>
      <c r="O61" s="1526"/>
      <c r="P61" s="1526"/>
      <c r="Q61" s="1526"/>
      <c r="R61" s="1526"/>
      <c r="S61" s="1526"/>
      <c r="T61" s="1526"/>
      <c r="U61" s="1526"/>
      <c r="V61" s="1526"/>
      <c r="W61" s="1526"/>
      <c r="X61" s="1526"/>
      <c r="Y61" s="1526"/>
      <c r="Z61" s="1526"/>
      <c r="AA61" s="1526"/>
      <c r="AB61" s="1526"/>
      <c r="AC61" s="1526"/>
      <c r="AD61" s="1526"/>
      <c r="AE61" s="1527"/>
      <c r="AF61" s="1525"/>
      <c r="AG61" s="1525"/>
      <c r="AH61" s="1525"/>
      <c r="AI61" s="1528"/>
      <c r="AJ61" s="1528"/>
    </row>
    <row r="62" spans="1:36">
      <c r="A62" s="1506">
        <v>1</v>
      </c>
      <c r="B62" s="1521" t="s">
        <v>879</v>
      </c>
      <c r="C62" s="1508">
        <v>132</v>
      </c>
      <c r="D62" s="1509">
        <v>6892000000</v>
      </c>
      <c r="E62" s="1511">
        <f>E63</f>
        <v>2081850000</v>
      </c>
      <c r="F62" s="1510"/>
    </row>
    <row r="63" spans="1:36">
      <c r="A63" s="1506"/>
      <c r="B63" s="1521" t="s">
        <v>895</v>
      </c>
      <c r="C63" s="1508"/>
      <c r="D63" s="1509"/>
      <c r="E63" s="1511">
        <f>'năm 2021 họp GĐ (phân bổ chíức)'!I56</f>
        <v>2081850000</v>
      </c>
      <c r="F63" s="1510"/>
    </row>
    <row r="64" spans="1:36">
      <c r="A64" s="1506">
        <v>2</v>
      </c>
      <c r="B64" s="1521" t="s">
        <v>891</v>
      </c>
      <c r="C64" s="1508">
        <v>131</v>
      </c>
      <c r="D64" s="1509"/>
      <c r="E64" s="1511">
        <f>E65</f>
        <v>3264119300</v>
      </c>
      <c r="F64" s="1510"/>
    </row>
    <row r="65" spans="1:36" ht="25.5">
      <c r="A65" s="1531"/>
      <c r="B65" s="1507" t="s">
        <v>873</v>
      </c>
      <c r="C65" s="1508"/>
      <c r="D65" s="1509"/>
      <c r="E65" s="1511">
        <f>Sheet2!G12</f>
        <v>3264119300</v>
      </c>
      <c r="F65" s="1510"/>
    </row>
    <row r="66" spans="1:36">
      <c r="A66" s="1506">
        <v>3</v>
      </c>
      <c r="B66" s="1521" t="s">
        <v>892</v>
      </c>
      <c r="C66" s="1508">
        <v>151</v>
      </c>
      <c r="D66" s="1509"/>
      <c r="E66" s="1511">
        <f>E67</f>
        <v>320400000</v>
      </c>
      <c r="F66" s="1510"/>
    </row>
    <row r="67" spans="1:36">
      <c r="A67" s="1506"/>
      <c r="B67" s="1521" t="s">
        <v>893</v>
      </c>
      <c r="C67" s="1508"/>
      <c r="D67" s="1509"/>
      <c r="E67" s="1620">
        <f>'DT giao 2021'!H7</f>
        <v>320400000</v>
      </c>
      <c r="F67" s="1510"/>
    </row>
    <row r="68" spans="1:36" s="1529" customFormat="1" ht="13.5">
      <c r="A68" s="1522">
        <v>15</v>
      </c>
      <c r="B68" s="1523" t="s">
        <v>730</v>
      </c>
      <c r="C68" s="1532"/>
      <c r="D68" s="1515">
        <f>D69+D72+D74</f>
        <v>7245000000</v>
      </c>
      <c r="E68" s="1515">
        <f>E69+E72+E74</f>
        <v>6976665460</v>
      </c>
      <c r="F68" s="1510"/>
      <c r="G68" s="1525"/>
      <c r="H68" s="1526"/>
      <c r="I68" s="1526"/>
      <c r="J68" s="1526"/>
      <c r="K68" s="1526"/>
      <c r="L68" s="1526"/>
      <c r="M68" s="1526"/>
      <c r="N68" s="1526"/>
      <c r="O68" s="1526"/>
      <c r="P68" s="1526"/>
      <c r="Q68" s="1526"/>
      <c r="R68" s="1526"/>
      <c r="S68" s="1526"/>
      <c r="T68" s="1526"/>
      <c r="U68" s="1526"/>
      <c r="V68" s="1526"/>
      <c r="W68" s="1526"/>
      <c r="X68" s="1526"/>
      <c r="Y68" s="1526"/>
      <c r="Z68" s="1526"/>
      <c r="AA68" s="1526"/>
      <c r="AB68" s="1526"/>
      <c r="AC68" s="1526"/>
      <c r="AD68" s="1526"/>
      <c r="AE68" s="1527"/>
      <c r="AF68" s="1525"/>
      <c r="AG68" s="1525"/>
      <c r="AH68" s="1525"/>
      <c r="AI68" s="1528"/>
      <c r="AJ68" s="1528"/>
    </row>
    <row r="69" spans="1:36" s="1529" customFormat="1" ht="13.5">
      <c r="A69" s="1506">
        <v>1</v>
      </c>
      <c r="B69" s="1521" t="s">
        <v>879</v>
      </c>
      <c r="C69" s="1508">
        <v>132</v>
      </c>
      <c r="D69" s="1615">
        <v>7245000000</v>
      </c>
      <c r="E69" s="1614">
        <f>E70+E71</f>
        <v>1265491960</v>
      </c>
      <c r="F69" s="1510"/>
      <c r="G69" s="1525"/>
      <c r="H69" s="1526"/>
      <c r="I69" s="1526"/>
      <c r="J69" s="1526"/>
      <c r="K69" s="1526"/>
      <c r="L69" s="1526"/>
      <c r="M69" s="1526"/>
      <c r="N69" s="1526"/>
      <c r="O69" s="1526"/>
      <c r="P69" s="1526"/>
      <c r="Q69" s="1526"/>
      <c r="R69" s="1526"/>
      <c r="S69" s="1526"/>
      <c r="T69" s="1526"/>
      <c r="U69" s="1526"/>
      <c r="V69" s="1526"/>
      <c r="W69" s="1526"/>
      <c r="X69" s="1526"/>
      <c r="Y69" s="1526"/>
      <c r="Z69" s="1526"/>
      <c r="AA69" s="1526"/>
      <c r="AB69" s="1526"/>
      <c r="AC69" s="1526"/>
      <c r="AD69" s="1526"/>
      <c r="AE69" s="1527"/>
      <c r="AF69" s="1525"/>
      <c r="AG69" s="1525"/>
      <c r="AH69" s="1525"/>
      <c r="AI69" s="1528"/>
      <c r="AJ69" s="1528"/>
    </row>
    <row r="70" spans="1:36" s="1529" customFormat="1" ht="13.5">
      <c r="A70" s="1506"/>
      <c r="B70" s="1507" t="s">
        <v>881</v>
      </c>
      <c r="C70" s="1508"/>
      <c r="D70" s="1530"/>
      <c r="E70" s="1614">
        <f>'năm 2021 họp GĐ (phân bổ chíức)'!I78</f>
        <v>1240000000</v>
      </c>
      <c r="F70" s="1510"/>
      <c r="G70" s="1525"/>
      <c r="H70" s="1526"/>
      <c r="I70" s="1526"/>
      <c r="J70" s="1526"/>
      <c r="K70" s="1526"/>
      <c r="L70" s="1526"/>
      <c r="M70" s="1526"/>
      <c r="N70" s="1526"/>
      <c r="O70" s="1526"/>
      <c r="P70" s="1526"/>
      <c r="Q70" s="1526"/>
      <c r="R70" s="1526"/>
      <c r="S70" s="1526"/>
      <c r="T70" s="1526"/>
      <c r="U70" s="1526"/>
      <c r="V70" s="1526"/>
      <c r="W70" s="1526"/>
      <c r="X70" s="1526"/>
      <c r="Y70" s="1526"/>
      <c r="Z70" s="1526"/>
      <c r="AA70" s="1526"/>
      <c r="AB70" s="1526"/>
      <c r="AC70" s="1526"/>
      <c r="AD70" s="1526"/>
      <c r="AE70" s="1527"/>
      <c r="AF70" s="1525"/>
      <c r="AG70" s="1525"/>
      <c r="AH70" s="1525"/>
      <c r="AI70" s="1528"/>
      <c r="AJ70" s="1528"/>
    </row>
    <row r="71" spans="1:36" s="1529" customFormat="1" ht="37.5" customHeight="1">
      <c r="A71" s="1506"/>
      <c r="B71" s="1507" t="s">
        <v>882</v>
      </c>
      <c r="C71" s="1508"/>
      <c r="D71" s="1530"/>
      <c r="E71" s="1614">
        <v>25491960</v>
      </c>
      <c r="F71" s="1510"/>
      <c r="G71" s="1525"/>
      <c r="H71" s="1526"/>
      <c r="I71" s="1526"/>
      <c r="J71" s="1526"/>
      <c r="K71" s="1526"/>
      <c r="L71" s="1526"/>
      <c r="M71" s="1526"/>
      <c r="N71" s="1526"/>
      <c r="O71" s="1526"/>
      <c r="P71" s="1526"/>
      <c r="Q71" s="1526"/>
      <c r="R71" s="1526"/>
      <c r="S71" s="1526"/>
      <c r="T71" s="1526"/>
      <c r="U71" s="1526"/>
      <c r="V71" s="1526"/>
      <c r="W71" s="1526"/>
      <c r="X71" s="1526"/>
      <c r="Y71" s="1526"/>
      <c r="Z71" s="1526"/>
      <c r="AA71" s="1526"/>
      <c r="AB71" s="1526"/>
      <c r="AC71" s="1526"/>
      <c r="AD71" s="1526"/>
      <c r="AE71" s="1527"/>
      <c r="AF71" s="1525"/>
      <c r="AG71" s="1525"/>
      <c r="AH71" s="1525"/>
      <c r="AI71" s="1528"/>
      <c r="AJ71" s="1528"/>
    </row>
    <row r="72" spans="1:36" s="1529" customFormat="1" ht="13.5">
      <c r="A72" s="1506">
        <v>2</v>
      </c>
      <c r="B72" s="1521" t="s">
        <v>891</v>
      </c>
      <c r="C72" s="1508">
        <v>131</v>
      </c>
      <c r="D72" s="1530"/>
      <c r="E72" s="1614">
        <f>E73</f>
        <v>5113573500</v>
      </c>
      <c r="F72" s="1510"/>
      <c r="G72" s="1525"/>
      <c r="H72" s="1526"/>
      <c r="I72" s="1526"/>
      <c r="J72" s="1526"/>
      <c r="K72" s="1526"/>
      <c r="L72" s="1526"/>
      <c r="M72" s="1526"/>
      <c r="N72" s="1526"/>
      <c r="O72" s="1526"/>
      <c r="P72" s="1526"/>
      <c r="Q72" s="1526"/>
      <c r="R72" s="1526"/>
      <c r="S72" s="1526"/>
      <c r="T72" s="1526"/>
      <c r="U72" s="1526"/>
      <c r="V72" s="1526"/>
      <c r="W72" s="1526"/>
      <c r="X72" s="1526"/>
      <c r="Y72" s="1526"/>
      <c r="Z72" s="1526"/>
      <c r="AA72" s="1526"/>
      <c r="AB72" s="1526"/>
      <c r="AC72" s="1526"/>
      <c r="AD72" s="1526"/>
      <c r="AE72" s="1527"/>
      <c r="AF72" s="1525"/>
      <c r="AG72" s="1525"/>
      <c r="AH72" s="1525"/>
      <c r="AI72" s="1528"/>
      <c r="AJ72" s="1528"/>
    </row>
    <row r="73" spans="1:36" s="1529" customFormat="1" ht="25.5">
      <c r="A73" s="1531"/>
      <c r="B73" s="1507" t="s">
        <v>873</v>
      </c>
      <c r="C73" s="1508"/>
      <c r="D73" s="1530"/>
      <c r="E73" s="1614">
        <f>Sheet2!G13</f>
        <v>5113573500</v>
      </c>
      <c r="F73" s="1510"/>
      <c r="G73" s="1525"/>
      <c r="H73" s="1526"/>
      <c r="I73" s="1526"/>
      <c r="J73" s="1526"/>
      <c r="K73" s="1526"/>
      <c r="L73" s="1526"/>
      <c r="M73" s="1526"/>
      <c r="N73" s="1526"/>
      <c r="O73" s="1526"/>
      <c r="P73" s="1526"/>
      <c r="Q73" s="1526"/>
      <c r="R73" s="1526"/>
      <c r="S73" s="1526"/>
      <c r="T73" s="1526"/>
      <c r="U73" s="1526"/>
      <c r="V73" s="1526"/>
      <c r="W73" s="1526"/>
      <c r="X73" s="1526"/>
      <c r="Y73" s="1526"/>
      <c r="Z73" s="1526"/>
      <c r="AA73" s="1526"/>
      <c r="AB73" s="1526"/>
      <c r="AC73" s="1526"/>
      <c r="AD73" s="1526"/>
      <c r="AE73" s="1527"/>
      <c r="AF73" s="1525"/>
      <c r="AG73" s="1525"/>
      <c r="AH73" s="1525"/>
      <c r="AI73" s="1528"/>
      <c r="AJ73" s="1528"/>
    </row>
    <row r="74" spans="1:36" s="1529" customFormat="1" ht="13.5">
      <c r="A74" s="1506">
        <v>3</v>
      </c>
      <c r="B74" s="1521" t="s">
        <v>892</v>
      </c>
      <c r="C74" s="1508">
        <v>151</v>
      </c>
      <c r="D74" s="1530"/>
      <c r="E74" s="1614">
        <f>E75</f>
        <v>597600000</v>
      </c>
      <c r="F74" s="1510"/>
      <c r="G74" s="1525"/>
      <c r="H74" s="1526"/>
      <c r="I74" s="1526"/>
      <c r="J74" s="1526"/>
      <c r="K74" s="1526"/>
      <c r="L74" s="1526"/>
      <c r="M74" s="1526"/>
      <c r="N74" s="1526"/>
      <c r="O74" s="1526"/>
      <c r="P74" s="1526"/>
      <c r="Q74" s="1526"/>
      <c r="R74" s="1526"/>
      <c r="S74" s="1526"/>
      <c r="T74" s="1526"/>
      <c r="U74" s="1526"/>
      <c r="V74" s="1526"/>
      <c r="W74" s="1526"/>
      <c r="X74" s="1526"/>
      <c r="Y74" s="1526"/>
      <c r="Z74" s="1526"/>
      <c r="AA74" s="1526"/>
      <c r="AB74" s="1526"/>
      <c r="AC74" s="1526"/>
      <c r="AD74" s="1526"/>
      <c r="AE74" s="1527"/>
      <c r="AF74" s="1525"/>
      <c r="AG74" s="1525"/>
      <c r="AH74" s="1525"/>
      <c r="AI74" s="1528"/>
      <c r="AJ74" s="1528"/>
    </row>
    <row r="75" spans="1:36" s="1529" customFormat="1" ht="13.5">
      <c r="A75" s="1506"/>
      <c r="B75" s="1521" t="s">
        <v>893</v>
      </c>
      <c r="C75" s="1508"/>
      <c r="D75" s="1530"/>
      <c r="E75" s="1614">
        <f>'DT giao 2021'!H8</f>
        <v>597600000</v>
      </c>
      <c r="F75" s="1510"/>
      <c r="G75" s="1525"/>
      <c r="H75" s="1526"/>
      <c r="I75" s="1526"/>
      <c r="J75" s="1526"/>
      <c r="K75" s="1526"/>
      <c r="L75" s="1526"/>
      <c r="M75" s="1526"/>
      <c r="N75" s="1526"/>
      <c r="O75" s="1526"/>
      <c r="P75" s="1526"/>
      <c r="Q75" s="1526"/>
      <c r="R75" s="1526"/>
      <c r="S75" s="1526"/>
      <c r="T75" s="1526"/>
      <c r="U75" s="1526"/>
      <c r="V75" s="1526"/>
      <c r="W75" s="1526"/>
      <c r="X75" s="1526"/>
      <c r="Y75" s="1526"/>
      <c r="Z75" s="1526"/>
      <c r="AA75" s="1526"/>
      <c r="AB75" s="1526"/>
      <c r="AC75" s="1526"/>
      <c r="AD75" s="1526"/>
      <c r="AE75" s="1527"/>
      <c r="AF75" s="1525"/>
      <c r="AG75" s="1525"/>
      <c r="AH75" s="1525"/>
      <c r="AI75" s="1528"/>
      <c r="AJ75" s="1528"/>
    </row>
    <row r="76" spans="1:36" s="1529" customFormat="1" ht="13.5">
      <c r="A76" s="1522">
        <v>16</v>
      </c>
      <c r="B76" s="1523" t="s">
        <v>731</v>
      </c>
      <c r="C76" s="1524"/>
      <c r="D76" s="1515">
        <f>D77+D80+D82</f>
        <v>6437000000</v>
      </c>
      <c r="E76" s="1515">
        <f>E77+E80+E82</f>
        <v>6618558727</v>
      </c>
      <c r="F76" s="1510"/>
      <c r="G76" s="1525"/>
      <c r="H76" s="1526"/>
      <c r="I76" s="1526"/>
      <c r="J76" s="1526"/>
      <c r="K76" s="1526"/>
      <c r="L76" s="1526"/>
      <c r="M76" s="1526"/>
      <c r="N76" s="1526"/>
      <c r="O76" s="1526"/>
      <c r="P76" s="1526"/>
      <c r="Q76" s="1526"/>
      <c r="R76" s="1526"/>
      <c r="S76" s="1526"/>
      <c r="T76" s="1526"/>
      <c r="U76" s="1526"/>
      <c r="V76" s="1526"/>
      <c r="W76" s="1526"/>
      <c r="X76" s="1526"/>
      <c r="Y76" s="1526"/>
      <c r="Z76" s="1526"/>
      <c r="AA76" s="1526"/>
      <c r="AB76" s="1526"/>
      <c r="AC76" s="1526"/>
      <c r="AD76" s="1526"/>
      <c r="AE76" s="1527"/>
      <c r="AF76" s="1525"/>
      <c r="AG76" s="1525"/>
      <c r="AH76" s="1525"/>
      <c r="AI76" s="1528"/>
      <c r="AJ76" s="1528"/>
    </row>
    <row r="77" spans="1:36" s="1529" customFormat="1" ht="13.5">
      <c r="A77" s="1506">
        <v>1</v>
      </c>
      <c r="B77" s="1521" t="s">
        <v>879</v>
      </c>
      <c r="C77" s="1508">
        <v>132</v>
      </c>
      <c r="D77" s="1615">
        <v>6437000000</v>
      </c>
      <c r="E77" s="1614">
        <f>E78+E79</f>
        <v>1786547727</v>
      </c>
      <c r="F77" s="1510"/>
      <c r="G77" s="1525"/>
      <c r="H77" s="1526"/>
      <c r="I77" s="1526"/>
      <c r="J77" s="1526"/>
      <c r="K77" s="1526"/>
      <c r="L77" s="1526"/>
      <c r="M77" s="1526"/>
      <c r="N77" s="1526"/>
      <c r="O77" s="1526"/>
      <c r="P77" s="1526"/>
      <c r="Q77" s="1526"/>
      <c r="R77" s="1526"/>
      <c r="S77" s="1526"/>
      <c r="T77" s="1526"/>
      <c r="U77" s="1526"/>
      <c r="V77" s="1526"/>
      <c r="W77" s="1526"/>
      <c r="X77" s="1526"/>
      <c r="Y77" s="1526"/>
      <c r="Z77" s="1526"/>
      <c r="AA77" s="1526"/>
      <c r="AB77" s="1526"/>
      <c r="AC77" s="1526"/>
      <c r="AD77" s="1526"/>
      <c r="AE77" s="1527"/>
      <c r="AF77" s="1525"/>
      <c r="AG77" s="1525"/>
      <c r="AH77" s="1525"/>
      <c r="AI77" s="1528"/>
      <c r="AJ77" s="1528"/>
    </row>
    <row r="78" spans="1:36" s="1529" customFormat="1" ht="13.5">
      <c r="A78" s="1506"/>
      <c r="B78" s="1507" t="s">
        <v>881</v>
      </c>
      <c r="C78" s="1508"/>
      <c r="D78" s="1530"/>
      <c r="E78" s="1614">
        <f>'năm 2021 họp GĐ (phân bổ chíức)'!I66</f>
        <v>1764279000</v>
      </c>
      <c r="F78" s="1510"/>
      <c r="G78" s="1525"/>
      <c r="H78" s="1526"/>
      <c r="I78" s="1526"/>
      <c r="J78" s="1526"/>
      <c r="K78" s="1526"/>
      <c r="L78" s="1526"/>
      <c r="M78" s="1526"/>
      <c r="N78" s="1526"/>
      <c r="O78" s="1526"/>
      <c r="P78" s="1526"/>
      <c r="Q78" s="1526"/>
      <c r="R78" s="1526"/>
      <c r="S78" s="1526"/>
      <c r="T78" s="1526"/>
      <c r="U78" s="1526"/>
      <c r="V78" s="1526"/>
      <c r="W78" s="1526"/>
      <c r="X78" s="1526"/>
      <c r="Y78" s="1526"/>
      <c r="Z78" s="1526"/>
      <c r="AA78" s="1526"/>
      <c r="AB78" s="1526"/>
      <c r="AC78" s="1526"/>
      <c r="AD78" s="1526"/>
      <c r="AE78" s="1527"/>
      <c r="AF78" s="1525"/>
      <c r="AG78" s="1525"/>
      <c r="AH78" s="1525"/>
      <c r="AI78" s="1528"/>
      <c r="AJ78" s="1528"/>
    </row>
    <row r="79" spans="1:36" s="1529" customFormat="1" ht="38.25">
      <c r="A79" s="1506"/>
      <c r="B79" s="1507" t="s">
        <v>882</v>
      </c>
      <c r="C79" s="1508"/>
      <c r="D79" s="1530"/>
      <c r="E79" s="1614">
        <v>22268727</v>
      </c>
      <c r="F79" s="1510"/>
      <c r="G79" s="1525"/>
      <c r="H79" s="1526"/>
      <c r="I79" s="1526"/>
      <c r="J79" s="1526"/>
      <c r="K79" s="1526"/>
      <c r="L79" s="1526"/>
      <c r="M79" s="1526"/>
      <c r="N79" s="1526"/>
      <c r="O79" s="1526"/>
      <c r="P79" s="1526"/>
      <c r="Q79" s="1526"/>
      <c r="R79" s="1526"/>
      <c r="S79" s="1526"/>
      <c r="T79" s="1526"/>
      <c r="U79" s="1526"/>
      <c r="V79" s="1526"/>
      <c r="W79" s="1526"/>
      <c r="X79" s="1526"/>
      <c r="Y79" s="1526"/>
      <c r="Z79" s="1526"/>
      <c r="AA79" s="1526"/>
      <c r="AB79" s="1526"/>
      <c r="AC79" s="1526"/>
      <c r="AD79" s="1526"/>
      <c r="AE79" s="1527"/>
      <c r="AF79" s="1525"/>
      <c r="AG79" s="1525"/>
      <c r="AH79" s="1525"/>
      <c r="AI79" s="1528"/>
      <c r="AJ79" s="1528"/>
    </row>
    <row r="80" spans="1:36" s="1529" customFormat="1" ht="13.5">
      <c r="A80" s="1506">
        <v>2</v>
      </c>
      <c r="B80" s="1521" t="s">
        <v>891</v>
      </c>
      <c r="C80" s="1508">
        <v>131</v>
      </c>
      <c r="D80" s="1530"/>
      <c r="E80" s="1614">
        <f>E81</f>
        <v>4301011000</v>
      </c>
      <c r="F80" s="1510"/>
      <c r="G80" s="1525"/>
      <c r="H80" s="1526"/>
      <c r="I80" s="1526"/>
      <c r="J80" s="1526"/>
      <c r="K80" s="1526"/>
      <c r="L80" s="1526"/>
      <c r="M80" s="1526"/>
      <c r="N80" s="1526"/>
      <c r="O80" s="1526"/>
      <c r="P80" s="1526"/>
      <c r="Q80" s="1526"/>
      <c r="R80" s="1526"/>
      <c r="S80" s="1526"/>
      <c r="T80" s="1526"/>
      <c r="U80" s="1526"/>
      <c r="V80" s="1526"/>
      <c r="W80" s="1526"/>
      <c r="X80" s="1526"/>
      <c r="Y80" s="1526"/>
      <c r="Z80" s="1526"/>
      <c r="AA80" s="1526"/>
      <c r="AB80" s="1526"/>
      <c r="AC80" s="1526"/>
      <c r="AD80" s="1526"/>
      <c r="AE80" s="1527"/>
      <c r="AF80" s="1525"/>
      <c r="AG80" s="1525"/>
      <c r="AH80" s="1525"/>
      <c r="AI80" s="1528"/>
      <c r="AJ80" s="1528"/>
    </row>
    <row r="81" spans="1:36" s="1529" customFormat="1" ht="25.5">
      <c r="A81" s="1531"/>
      <c r="B81" s="1507" t="s">
        <v>873</v>
      </c>
      <c r="C81" s="1508"/>
      <c r="D81" s="1530"/>
      <c r="E81" s="1614">
        <f>Sheet2!G14</f>
        <v>4301011000</v>
      </c>
      <c r="F81" s="1510"/>
      <c r="G81" s="1525"/>
      <c r="H81" s="1526"/>
      <c r="I81" s="1526"/>
      <c r="J81" s="1526"/>
      <c r="K81" s="1526"/>
      <c r="L81" s="1526"/>
      <c r="M81" s="1526"/>
      <c r="N81" s="1526"/>
      <c r="O81" s="1526"/>
      <c r="P81" s="1526"/>
      <c r="Q81" s="1526"/>
      <c r="R81" s="1526"/>
      <c r="S81" s="1526"/>
      <c r="T81" s="1526"/>
      <c r="U81" s="1526"/>
      <c r="V81" s="1526"/>
      <c r="W81" s="1526"/>
      <c r="X81" s="1526"/>
      <c r="Y81" s="1526"/>
      <c r="Z81" s="1526"/>
      <c r="AA81" s="1526"/>
      <c r="AB81" s="1526"/>
      <c r="AC81" s="1526"/>
      <c r="AD81" s="1526"/>
      <c r="AE81" s="1527"/>
      <c r="AF81" s="1525"/>
      <c r="AG81" s="1525"/>
      <c r="AH81" s="1525"/>
      <c r="AI81" s="1528"/>
      <c r="AJ81" s="1528"/>
    </row>
    <row r="82" spans="1:36" s="1529" customFormat="1" ht="13.5">
      <c r="A82" s="1506">
        <v>3</v>
      </c>
      <c r="B82" s="1521" t="s">
        <v>892</v>
      </c>
      <c r="C82" s="1508">
        <v>151</v>
      </c>
      <c r="D82" s="1530"/>
      <c r="E82" s="1614">
        <f>E83</f>
        <v>531000000</v>
      </c>
      <c r="F82" s="1510"/>
      <c r="G82" s="1525"/>
      <c r="H82" s="1526"/>
      <c r="I82" s="1526"/>
      <c r="J82" s="1526"/>
      <c r="K82" s="1526"/>
      <c r="L82" s="1526"/>
      <c r="M82" s="1526"/>
      <c r="N82" s="1526"/>
      <c r="O82" s="1526"/>
      <c r="P82" s="1526"/>
      <c r="Q82" s="1526"/>
      <c r="R82" s="1526"/>
      <c r="S82" s="1526"/>
      <c r="T82" s="1526"/>
      <c r="U82" s="1526"/>
      <c r="V82" s="1526"/>
      <c r="W82" s="1526"/>
      <c r="X82" s="1526"/>
      <c r="Y82" s="1526"/>
      <c r="Z82" s="1526"/>
      <c r="AA82" s="1526"/>
      <c r="AB82" s="1526"/>
      <c r="AC82" s="1526"/>
      <c r="AD82" s="1526"/>
      <c r="AE82" s="1527"/>
      <c r="AF82" s="1525"/>
      <c r="AG82" s="1525"/>
      <c r="AH82" s="1525"/>
      <c r="AI82" s="1528"/>
      <c r="AJ82" s="1528"/>
    </row>
    <row r="83" spans="1:36" s="1529" customFormat="1" ht="13.5">
      <c r="A83" s="1506"/>
      <c r="B83" s="1521" t="s">
        <v>893</v>
      </c>
      <c r="C83" s="1508"/>
      <c r="D83" s="1530"/>
      <c r="E83" s="1614">
        <f>'DT giao 2021'!H9</f>
        <v>531000000</v>
      </c>
      <c r="F83" s="1510"/>
      <c r="G83" s="1525"/>
      <c r="H83" s="1526"/>
      <c r="I83" s="1526"/>
      <c r="J83" s="1526"/>
      <c r="K83" s="1526"/>
      <c r="L83" s="1526"/>
      <c r="M83" s="1526"/>
      <c r="N83" s="1526"/>
      <c r="O83" s="1526"/>
      <c r="P83" s="1526"/>
      <c r="Q83" s="1526"/>
      <c r="R83" s="1526"/>
      <c r="S83" s="1526"/>
      <c r="T83" s="1526"/>
      <c r="U83" s="1526"/>
      <c r="V83" s="1526"/>
      <c r="W83" s="1526"/>
      <c r="X83" s="1526"/>
      <c r="Y83" s="1526"/>
      <c r="Z83" s="1526"/>
      <c r="AA83" s="1526"/>
      <c r="AB83" s="1526"/>
      <c r="AC83" s="1526"/>
      <c r="AD83" s="1526"/>
      <c r="AE83" s="1527"/>
      <c r="AF83" s="1525"/>
      <c r="AG83" s="1525"/>
      <c r="AH83" s="1525"/>
      <c r="AI83" s="1528"/>
      <c r="AJ83" s="1528"/>
    </row>
    <row r="84" spans="1:36" s="1529" customFormat="1" ht="13.5">
      <c r="A84" s="1522">
        <v>17</v>
      </c>
      <c r="B84" s="1523" t="s">
        <v>732</v>
      </c>
      <c r="C84" s="1524"/>
      <c r="D84" s="1515">
        <f>D85+D87+D89</f>
        <v>1157000000</v>
      </c>
      <c r="E84" s="1515">
        <f>E85+E87+E89</f>
        <v>4032316200</v>
      </c>
      <c r="F84" s="1510"/>
      <c r="G84" s="1525"/>
      <c r="H84" s="1526"/>
      <c r="I84" s="1526"/>
      <c r="J84" s="1526"/>
      <c r="K84" s="1526"/>
      <c r="L84" s="1526"/>
      <c r="M84" s="1526"/>
      <c r="N84" s="1526"/>
      <c r="O84" s="1526"/>
      <c r="P84" s="1526"/>
      <c r="Q84" s="1526"/>
      <c r="R84" s="1526"/>
      <c r="S84" s="1526"/>
      <c r="T84" s="1526"/>
      <c r="U84" s="1526"/>
      <c r="V84" s="1526"/>
      <c r="W84" s="1526"/>
      <c r="X84" s="1526"/>
      <c r="Y84" s="1526"/>
      <c r="Z84" s="1526"/>
      <c r="AA84" s="1526"/>
      <c r="AB84" s="1526"/>
      <c r="AC84" s="1526"/>
      <c r="AD84" s="1526"/>
      <c r="AE84" s="1527"/>
      <c r="AF84" s="1525"/>
      <c r="AG84" s="1525"/>
      <c r="AH84" s="1525"/>
      <c r="AI84" s="1528"/>
      <c r="AJ84" s="1528"/>
    </row>
    <row r="85" spans="1:36" s="1529" customFormat="1" ht="13.5">
      <c r="A85" s="1506">
        <v>1</v>
      </c>
      <c r="B85" s="1521" t="s">
        <v>879</v>
      </c>
      <c r="C85" s="1508">
        <v>132</v>
      </c>
      <c r="D85" s="1615">
        <v>1157000000</v>
      </c>
      <c r="E85" s="1515">
        <f>E86</f>
        <v>928831000</v>
      </c>
      <c r="F85" s="1510"/>
      <c r="G85" s="1525"/>
      <c r="H85" s="1526"/>
      <c r="I85" s="1526"/>
      <c r="J85" s="1526"/>
      <c r="K85" s="1526"/>
      <c r="L85" s="1526"/>
      <c r="M85" s="1526"/>
      <c r="N85" s="1526"/>
      <c r="O85" s="1526"/>
      <c r="P85" s="1526"/>
      <c r="Q85" s="1526"/>
      <c r="R85" s="1526"/>
      <c r="S85" s="1526"/>
      <c r="T85" s="1526"/>
      <c r="U85" s="1526"/>
      <c r="V85" s="1526"/>
      <c r="W85" s="1526"/>
      <c r="X85" s="1526"/>
      <c r="Y85" s="1526"/>
      <c r="Z85" s="1526"/>
      <c r="AA85" s="1526"/>
      <c r="AB85" s="1526"/>
      <c r="AC85" s="1526"/>
      <c r="AD85" s="1526"/>
      <c r="AE85" s="1527"/>
      <c r="AF85" s="1525"/>
      <c r="AG85" s="1525"/>
      <c r="AH85" s="1525"/>
      <c r="AI85" s="1528"/>
      <c r="AJ85" s="1528"/>
    </row>
    <row r="86" spans="1:36" s="1529" customFormat="1" ht="13.5">
      <c r="A86" s="1506"/>
      <c r="B86" s="1521" t="s">
        <v>895</v>
      </c>
      <c r="C86" s="1508"/>
      <c r="D86" s="1530"/>
      <c r="E86" s="1614">
        <f>'năm 2021 họp GĐ (phân bổ chíức)'!I47</f>
        <v>928831000</v>
      </c>
      <c r="F86" s="1510"/>
      <c r="G86" s="1525"/>
      <c r="H86" s="1526"/>
      <c r="I86" s="1526"/>
      <c r="J86" s="1526"/>
      <c r="K86" s="1526"/>
      <c r="L86" s="1526"/>
      <c r="M86" s="1526"/>
      <c r="N86" s="1526"/>
      <c r="O86" s="1526"/>
      <c r="P86" s="1526"/>
      <c r="Q86" s="1526"/>
      <c r="R86" s="1526"/>
      <c r="S86" s="1526"/>
      <c r="T86" s="1526"/>
      <c r="U86" s="1526"/>
      <c r="V86" s="1526"/>
      <c r="W86" s="1526"/>
      <c r="X86" s="1526"/>
      <c r="Y86" s="1526"/>
      <c r="Z86" s="1526"/>
      <c r="AA86" s="1526"/>
      <c r="AB86" s="1526"/>
      <c r="AC86" s="1526"/>
      <c r="AD86" s="1526"/>
      <c r="AE86" s="1527"/>
      <c r="AF86" s="1525"/>
      <c r="AG86" s="1525"/>
      <c r="AH86" s="1525"/>
      <c r="AI86" s="1528"/>
      <c r="AJ86" s="1528"/>
    </row>
    <row r="87" spans="1:36" s="1529" customFormat="1" ht="13.5">
      <c r="A87" s="1506">
        <v>2</v>
      </c>
      <c r="B87" s="1521" t="s">
        <v>891</v>
      </c>
      <c r="C87" s="1508">
        <v>131</v>
      </c>
      <c r="D87" s="1530"/>
      <c r="E87" s="1614">
        <f>E88</f>
        <v>2907285200</v>
      </c>
      <c r="F87" s="1510"/>
      <c r="G87" s="1525"/>
      <c r="H87" s="1526"/>
      <c r="I87" s="1526"/>
      <c r="J87" s="1526"/>
      <c r="K87" s="1526"/>
      <c r="L87" s="1526"/>
      <c r="M87" s="1526"/>
      <c r="N87" s="1526"/>
      <c r="O87" s="1526"/>
      <c r="P87" s="1526"/>
      <c r="Q87" s="1526"/>
      <c r="R87" s="1526"/>
      <c r="S87" s="1526"/>
      <c r="T87" s="1526"/>
      <c r="U87" s="1526"/>
      <c r="V87" s="1526"/>
      <c r="W87" s="1526"/>
      <c r="X87" s="1526"/>
      <c r="Y87" s="1526"/>
      <c r="Z87" s="1526"/>
      <c r="AA87" s="1526"/>
      <c r="AB87" s="1526"/>
      <c r="AC87" s="1526"/>
      <c r="AD87" s="1526"/>
      <c r="AE87" s="1527"/>
      <c r="AF87" s="1525"/>
      <c r="AG87" s="1525"/>
      <c r="AH87" s="1525"/>
      <c r="AI87" s="1528"/>
      <c r="AJ87" s="1528"/>
    </row>
    <row r="88" spans="1:36" s="1529" customFormat="1" ht="25.5">
      <c r="A88" s="1531"/>
      <c r="B88" s="1507" t="s">
        <v>873</v>
      </c>
      <c r="C88" s="1508"/>
      <c r="D88" s="1530"/>
      <c r="E88" s="1614">
        <f>Sheet2!G15</f>
        <v>2907285200</v>
      </c>
      <c r="F88" s="1510"/>
      <c r="G88" s="1525"/>
      <c r="H88" s="1526"/>
      <c r="I88" s="1526"/>
      <c r="J88" s="1526"/>
      <c r="K88" s="1526"/>
      <c r="L88" s="1526"/>
      <c r="M88" s="1526"/>
      <c r="N88" s="1526"/>
      <c r="O88" s="1526"/>
      <c r="P88" s="1526"/>
      <c r="Q88" s="1526"/>
      <c r="R88" s="1526"/>
      <c r="S88" s="1526"/>
      <c r="T88" s="1526"/>
      <c r="U88" s="1526"/>
      <c r="V88" s="1526"/>
      <c r="W88" s="1526"/>
      <c r="X88" s="1526"/>
      <c r="Y88" s="1526"/>
      <c r="Z88" s="1526"/>
      <c r="AA88" s="1526"/>
      <c r="AB88" s="1526"/>
      <c r="AC88" s="1526"/>
      <c r="AD88" s="1526"/>
      <c r="AE88" s="1527"/>
      <c r="AF88" s="1525"/>
      <c r="AG88" s="1525"/>
      <c r="AH88" s="1525"/>
      <c r="AI88" s="1528"/>
      <c r="AJ88" s="1528"/>
    </row>
    <row r="89" spans="1:36" s="1529" customFormat="1" ht="13.5">
      <c r="A89" s="1506">
        <v>3</v>
      </c>
      <c r="B89" s="1521" t="s">
        <v>892</v>
      </c>
      <c r="C89" s="1508">
        <v>151</v>
      </c>
      <c r="D89" s="1530"/>
      <c r="E89" s="1614">
        <f>E90</f>
        <v>196200000</v>
      </c>
      <c r="F89" s="1510"/>
      <c r="G89" s="1525"/>
      <c r="H89" s="1526"/>
      <c r="I89" s="1526"/>
      <c r="J89" s="1526"/>
      <c r="K89" s="1526"/>
      <c r="L89" s="1526"/>
      <c r="M89" s="1526"/>
      <c r="N89" s="1526"/>
      <c r="O89" s="1526"/>
      <c r="P89" s="1526"/>
      <c r="Q89" s="1526"/>
      <c r="R89" s="1526"/>
      <c r="S89" s="1526"/>
      <c r="T89" s="1526"/>
      <c r="U89" s="1526"/>
      <c r="V89" s="1526"/>
      <c r="W89" s="1526"/>
      <c r="X89" s="1526"/>
      <c r="Y89" s="1526"/>
      <c r="Z89" s="1526"/>
      <c r="AA89" s="1526"/>
      <c r="AB89" s="1526"/>
      <c r="AC89" s="1526"/>
      <c r="AD89" s="1526"/>
      <c r="AE89" s="1527"/>
      <c r="AF89" s="1525"/>
      <c r="AG89" s="1525"/>
      <c r="AH89" s="1525"/>
      <c r="AI89" s="1528"/>
      <c r="AJ89" s="1528"/>
    </row>
    <row r="90" spans="1:36" s="1529" customFormat="1" ht="13.5">
      <c r="A90" s="1506"/>
      <c r="B90" s="1521" t="s">
        <v>893</v>
      </c>
      <c r="C90" s="1508"/>
      <c r="D90" s="1530"/>
      <c r="E90" s="1614">
        <f>'DT giao 2021'!H10</f>
        <v>196200000</v>
      </c>
      <c r="F90" s="1510"/>
      <c r="G90" s="1525"/>
      <c r="H90" s="1526"/>
      <c r="I90" s="1526"/>
      <c r="J90" s="1526"/>
      <c r="K90" s="1526"/>
      <c r="L90" s="1526"/>
      <c r="M90" s="1526"/>
      <c r="N90" s="1526"/>
      <c r="O90" s="1526"/>
      <c r="P90" s="1526"/>
      <c r="Q90" s="1526"/>
      <c r="R90" s="1526"/>
      <c r="S90" s="1526"/>
      <c r="T90" s="1526"/>
      <c r="U90" s="1526"/>
      <c r="V90" s="1526"/>
      <c r="W90" s="1526"/>
      <c r="X90" s="1526"/>
      <c r="Y90" s="1526"/>
      <c r="Z90" s="1526"/>
      <c r="AA90" s="1526"/>
      <c r="AB90" s="1526"/>
      <c r="AC90" s="1526"/>
      <c r="AD90" s="1526"/>
      <c r="AE90" s="1527"/>
      <c r="AF90" s="1525"/>
      <c r="AG90" s="1525"/>
      <c r="AH90" s="1525"/>
      <c r="AI90" s="1528"/>
      <c r="AJ90" s="1528"/>
    </row>
    <row r="91" spans="1:36" s="1529" customFormat="1" ht="13.5">
      <c r="A91" s="1522">
        <v>18</v>
      </c>
      <c r="B91" s="1523" t="s">
        <v>733</v>
      </c>
      <c r="C91" s="1524"/>
      <c r="D91" s="1515">
        <f>D92+D94+D96</f>
        <v>7800000000</v>
      </c>
      <c r="E91" s="1515">
        <f>E92+E94+E96</f>
        <v>7730789664</v>
      </c>
      <c r="F91" s="1510"/>
      <c r="G91" s="1525"/>
      <c r="H91" s="1526"/>
      <c r="I91" s="1526"/>
      <c r="J91" s="1526"/>
      <c r="K91" s="1526"/>
      <c r="L91" s="1526"/>
      <c r="M91" s="1526"/>
      <c r="N91" s="1526"/>
      <c r="O91" s="1526"/>
      <c r="P91" s="1526"/>
      <c r="Q91" s="1526"/>
      <c r="R91" s="1526"/>
      <c r="S91" s="1526"/>
      <c r="T91" s="1526"/>
      <c r="U91" s="1526"/>
      <c r="V91" s="1526"/>
      <c r="W91" s="1526"/>
      <c r="X91" s="1526"/>
      <c r="Y91" s="1526"/>
      <c r="Z91" s="1526"/>
      <c r="AA91" s="1526"/>
      <c r="AB91" s="1526"/>
      <c r="AC91" s="1526"/>
      <c r="AD91" s="1526"/>
      <c r="AE91" s="1527"/>
      <c r="AF91" s="1525"/>
      <c r="AG91" s="1525"/>
      <c r="AH91" s="1525"/>
      <c r="AI91" s="1528"/>
      <c r="AJ91" s="1528"/>
    </row>
    <row r="92" spans="1:36" s="1529" customFormat="1" ht="13.5">
      <c r="A92" s="1506">
        <v>1</v>
      </c>
      <c r="B92" s="1521" t="s">
        <v>879</v>
      </c>
      <c r="C92" s="1508">
        <v>132</v>
      </c>
      <c r="D92" s="1615">
        <v>7800000000</v>
      </c>
      <c r="E92" s="1614">
        <f>E93</f>
        <v>2406203818</v>
      </c>
      <c r="F92" s="1510"/>
      <c r="G92" s="1525"/>
      <c r="H92" s="1526"/>
      <c r="I92" s="1526"/>
      <c r="J92" s="1526"/>
      <c r="K92" s="1526"/>
      <c r="L92" s="1526"/>
      <c r="M92" s="1526"/>
      <c r="N92" s="1526"/>
      <c r="O92" s="1526"/>
      <c r="P92" s="1526"/>
      <c r="Q92" s="1526"/>
      <c r="R92" s="1526"/>
      <c r="S92" s="1526"/>
      <c r="T92" s="1526"/>
      <c r="U92" s="1526"/>
      <c r="V92" s="1526"/>
      <c r="W92" s="1526"/>
      <c r="X92" s="1526"/>
      <c r="Y92" s="1526"/>
      <c r="Z92" s="1526"/>
      <c r="AA92" s="1526"/>
      <c r="AB92" s="1526"/>
      <c r="AC92" s="1526"/>
      <c r="AD92" s="1526"/>
      <c r="AE92" s="1527"/>
      <c r="AF92" s="1525"/>
      <c r="AG92" s="1525"/>
      <c r="AH92" s="1525"/>
      <c r="AI92" s="1528"/>
      <c r="AJ92" s="1528"/>
    </row>
    <row r="93" spans="1:36" s="1529" customFormat="1" ht="13.5">
      <c r="A93" s="1506"/>
      <c r="B93" s="1521" t="s">
        <v>895</v>
      </c>
      <c r="C93" s="1508"/>
      <c r="D93" s="1530"/>
      <c r="E93" s="1614">
        <f>'năm 2021 họp GĐ (phân bổ chíức)'!I28</f>
        <v>2406203818</v>
      </c>
      <c r="F93" s="1510"/>
      <c r="G93" s="1525"/>
      <c r="H93" s="1526"/>
      <c r="I93" s="1526"/>
      <c r="J93" s="1526"/>
      <c r="K93" s="1526"/>
      <c r="L93" s="1526"/>
      <c r="M93" s="1526"/>
      <c r="N93" s="1526"/>
      <c r="O93" s="1526"/>
      <c r="P93" s="1526"/>
      <c r="Q93" s="1526"/>
      <c r="R93" s="1526"/>
      <c r="S93" s="1526"/>
      <c r="T93" s="1526"/>
      <c r="U93" s="1526"/>
      <c r="V93" s="1526"/>
      <c r="W93" s="1526"/>
      <c r="X93" s="1526"/>
      <c r="Y93" s="1526"/>
      <c r="Z93" s="1526"/>
      <c r="AA93" s="1526"/>
      <c r="AB93" s="1526"/>
      <c r="AC93" s="1526"/>
      <c r="AD93" s="1526"/>
      <c r="AE93" s="1527"/>
      <c r="AF93" s="1525"/>
      <c r="AG93" s="1525"/>
      <c r="AH93" s="1525"/>
      <c r="AI93" s="1528"/>
      <c r="AJ93" s="1528"/>
    </row>
    <row r="94" spans="1:36" s="1529" customFormat="1" ht="13.5">
      <c r="A94" s="1506">
        <v>2</v>
      </c>
      <c r="B94" s="1521" t="s">
        <v>891</v>
      </c>
      <c r="C94" s="1508">
        <v>131</v>
      </c>
      <c r="D94" s="1530"/>
      <c r="E94" s="1614">
        <f>E95</f>
        <v>4703585846</v>
      </c>
      <c r="F94" s="1510"/>
      <c r="G94" s="1525"/>
      <c r="H94" s="1526"/>
      <c r="I94" s="1526"/>
      <c r="J94" s="1526"/>
      <c r="K94" s="1526"/>
      <c r="L94" s="1526"/>
      <c r="M94" s="1526"/>
      <c r="N94" s="1526"/>
      <c r="O94" s="1526"/>
      <c r="P94" s="1526"/>
      <c r="Q94" s="1526"/>
      <c r="R94" s="1526"/>
      <c r="S94" s="1526"/>
      <c r="T94" s="1526"/>
      <c r="U94" s="1526"/>
      <c r="V94" s="1526"/>
      <c r="W94" s="1526"/>
      <c r="X94" s="1526"/>
      <c r="Y94" s="1526"/>
      <c r="Z94" s="1526"/>
      <c r="AA94" s="1526"/>
      <c r="AB94" s="1526"/>
      <c r="AC94" s="1526"/>
      <c r="AD94" s="1526"/>
      <c r="AE94" s="1527"/>
      <c r="AF94" s="1525"/>
      <c r="AG94" s="1525"/>
      <c r="AH94" s="1525"/>
      <c r="AI94" s="1528"/>
      <c r="AJ94" s="1528"/>
    </row>
    <row r="95" spans="1:36" s="1529" customFormat="1" ht="25.5">
      <c r="A95" s="1531"/>
      <c r="B95" s="1507" t="s">
        <v>873</v>
      </c>
      <c r="C95" s="1508"/>
      <c r="D95" s="1530"/>
      <c r="E95" s="1614">
        <f>Sheet2!G16</f>
        <v>4703585846</v>
      </c>
      <c r="F95" s="1510"/>
      <c r="G95" s="1525"/>
      <c r="H95" s="1526"/>
      <c r="I95" s="1526"/>
      <c r="J95" s="1526"/>
      <c r="K95" s="1526"/>
      <c r="L95" s="1526"/>
      <c r="M95" s="1526"/>
      <c r="N95" s="1526"/>
      <c r="O95" s="1526"/>
      <c r="P95" s="1526"/>
      <c r="Q95" s="1526"/>
      <c r="R95" s="1526"/>
      <c r="S95" s="1526"/>
      <c r="T95" s="1526"/>
      <c r="U95" s="1526"/>
      <c r="V95" s="1526"/>
      <c r="W95" s="1526"/>
      <c r="X95" s="1526"/>
      <c r="Y95" s="1526"/>
      <c r="Z95" s="1526"/>
      <c r="AA95" s="1526"/>
      <c r="AB95" s="1526"/>
      <c r="AC95" s="1526"/>
      <c r="AD95" s="1526"/>
      <c r="AE95" s="1527"/>
      <c r="AF95" s="1525"/>
      <c r="AG95" s="1525"/>
      <c r="AH95" s="1525"/>
      <c r="AI95" s="1528"/>
      <c r="AJ95" s="1528"/>
    </row>
    <row r="96" spans="1:36" s="1529" customFormat="1" ht="13.5">
      <c r="A96" s="1506">
        <v>3</v>
      </c>
      <c r="B96" s="1521" t="s">
        <v>892</v>
      </c>
      <c r="C96" s="1508">
        <v>151</v>
      </c>
      <c r="D96" s="1530"/>
      <c r="E96" s="1614">
        <f>E97</f>
        <v>621000000</v>
      </c>
      <c r="F96" s="1510"/>
      <c r="G96" s="1525"/>
      <c r="H96" s="1526"/>
      <c r="I96" s="1526"/>
      <c r="J96" s="1526"/>
      <c r="K96" s="1526"/>
      <c r="L96" s="1526"/>
      <c r="M96" s="1526"/>
      <c r="N96" s="1526"/>
      <c r="O96" s="1526"/>
      <c r="P96" s="1526"/>
      <c r="Q96" s="1526"/>
      <c r="R96" s="1526"/>
      <c r="S96" s="1526"/>
      <c r="T96" s="1526"/>
      <c r="U96" s="1526"/>
      <c r="V96" s="1526"/>
      <c r="W96" s="1526"/>
      <c r="X96" s="1526"/>
      <c r="Y96" s="1526"/>
      <c r="Z96" s="1526"/>
      <c r="AA96" s="1526"/>
      <c r="AB96" s="1526"/>
      <c r="AC96" s="1526"/>
      <c r="AD96" s="1526"/>
      <c r="AE96" s="1527"/>
      <c r="AF96" s="1525"/>
      <c r="AG96" s="1525"/>
      <c r="AH96" s="1525"/>
      <c r="AI96" s="1528"/>
      <c r="AJ96" s="1528"/>
    </row>
    <row r="97" spans="1:36" s="1529" customFormat="1" ht="13.5">
      <c r="A97" s="1506"/>
      <c r="B97" s="1521" t="s">
        <v>893</v>
      </c>
      <c r="C97" s="1508"/>
      <c r="D97" s="1530"/>
      <c r="E97" s="1614">
        <f>'DT giao 2021'!H11</f>
        <v>621000000</v>
      </c>
      <c r="F97" s="1510"/>
      <c r="G97" s="1525"/>
      <c r="H97" s="1526"/>
      <c r="I97" s="1526"/>
      <c r="J97" s="1526"/>
      <c r="K97" s="1526"/>
      <c r="L97" s="1526"/>
      <c r="M97" s="1526"/>
      <c r="N97" s="1526"/>
      <c r="O97" s="1526"/>
      <c r="P97" s="1526"/>
      <c r="Q97" s="1526"/>
      <c r="R97" s="1526"/>
      <c r="S97" s="1526"/>
      <c r="T97" s="1526"/>
      <c r="U97" s="1526"/>
      <c r="V97" s="1526"/>
      <c r="W97" s="1526"/>
      <c r="X97" s="1526"/>
      <c r="Y97" s="1526"/>
      <c r="Z97" s="1526"/>
      <c r="AA97" s="1526"/>
      <c r="AB97" s="1526"/>
      <c r="AC97" s="1526"/>
      <c r="AD97" s="1526"/>
      <c r="AE97" s="1527"/>
      <c r="AF97" s="1525"/>
      <c r="AG97" s="1525"/>
      <c r="AH97" s="1525"/>
      <c r="AI97" s="1528"/>
      <c r="AJ97" s="1528"/>
    </row>
    <row r="98" spans="1:36" s="1529" customFormat="1" ht="13.5">
      <c r="A98" s="1522">
        <v>19</v>
      </c>
      <c r="B98" s="1533" t="s">
        <v>734</v>
      </c>
      <c r="C98" s="1524"/>
      <c r="D98" s="1515">
        <f>D99+D100+D102</f>
        <v>3028000000</v>
      </c>
      <c r="E98" s="1515">
        <f>E99+E100+E102</f>
        <v>3811397800</v>
      </c>
      <c r="F98" s="1510"/>
      <c r="G98" s="1525"/>
      <c r="H98" s="1526"/>
      <c r="I98" s="1526"/>
      <c r="J98" s="1526"/>
      <c r="K98" s="1526"/>
      <c r="L98" s="1526"/>
      <c r="M98" s="1526"/>
      <c r="N98" s="1526"/>
      <c r="O98" s="1526"/>
      <c r="P98" s="1526"/>
      <c r="Q98" s="1526"/>
      <c r="R98" s="1526"/>
      <c r="S98" s="1526"/>
      <c r="T98" s="1526"/>
      <c r="U98" s="1526"/>
      <c r="V98" s="1526"/>
      <c r="W98" s="1526"/>
      <c r="X98" s="1526"/>
      <c r="Y98" s="1526"/>
      <c r="Z98" s="1526"/>
      <c r="AA98" s="1526"/>
      <c r="AB98" s="1526"/>
      <c r="AC98" s="1526"/>
      <c r="AD98" s="1526"/>
      <c r="AE98" s="1527"/>
      <c r="AF98" s="1525"/>
      <c r="AG98" s="1525"/>
      <c r="AH98" s="1525"/>
      <c r="AI98" s="1528"/>
      <c r="AJ98" s="1528"/>
    </row>
    <row r="99" spans="1:36" s="1529" customFormat="1" ht="13.5">
      <c r="A99" s="1506">
        <v>1</v>
      </c>
      <c r="B99" s="1521" t="s">
        <v>879</v>
      </c>
      <c r="C99" s="1508">
        <v>132</v>
      </c>
      <c r="D99" s="1615">
        <v>3028000000</v>
      </c>
      <c r="E99" s="1614"/>
      <c r="F99" s="1510"/>
      <c r="G99" s="1525"/>
      <c r="H99" s="1526"/>
      <c r="I99" s="1526"/>
      <c r="J99" s="1526"/>
      <c r="K99" s="1526"/>
      <c r="L99" s="1526"/>
      <c r="M99" s="1526"/>
      <c r="N99" s="1526"/>
      <c r="O99" s="1526"/>
      <c r="P99" s="1526"/>
      <c r="Q99" s="1526"/>
      <c r="R99" s="1526"/>
      <c r="S99" s="1526"/>
      <c r="T99" s="1526"/>
      <c r="U99" s="1526"/>
      <c r="V99" s="1526"/>
      <c r="W99" s="1526"/>
      <c r="X99" s="1526"/>
      <c r="Y99" s="1526"/>
      <c r="Z99" s="1526"/>
      <c r="AA99" s="1526"/>
      <c r="AB99" s="1526"/>
      <c r="AC99" s="1526"/>
      <c r="AD99" s="1526"/>
      <c r="AE99" s="1527"/>
      <c r="AF99" s="1525"/>
      <c r="AG99" s="1525"/>
      <c r="AH99" s="1525"/>
      <c r="AI99" s="1528"/>
      <c r="AJ99" s="1528"/>
    </row>
    <row r="100" spans="1:36" s="1529" customFormat="1" ht="13.5">
      <c r="A100" s="1506">
        <v>2</v>
      </c>
      <c r="B100" s="1521" t="s">
        <v>891</v>
      </c>
      <c r="C100" s="1508">
        <v>131</v>
      </c>
      <c r="D100" s="1615"/>
      <c r="E100" s="1614">
        <f>E101</f>
        <v>3301997800</v>
      </c>
      <c r="F100" s="1510"/>
      <c r="G100" s="1525"/>
      <c r="H100" s="1526"/>
      <c r="I100" s="1526"/>
      <c r="J100" s="1526"/>
      <c r="K100" s="1526"/>
      <c r="L100" s="1526"/>
      <c r="M100" s="1526"/>
      <c r="N100" s="1526"/>
      <c r="O100" s="1526"/>
      <c r="P100" s="1526"/>
      <c r="Q100" s="1526"/>
      <c r="R100" s="1526"/>
      <c r="S100" s="1526"/>
      <c r="T100" s="1526"/>
      <c r="U100" s="1526"/>
      <c r="V100" s="1526"/>
      <c r="W100" s="1526"/>
      <c r="X100" s="1526"/>
      <c r="Y100" s="1526"/>
      <c r="Z100" s="1526"/>
      <c r="AA100" s="1526"/>
      <c r="AB100" s="1526"/>
      <c r="AC100" s="1526"/>
      <c r="AD100" s="1526"/>
      <c r="AE100" s="1527"/>
      <c r="AF100" s="1525"/>
      <c r="AG100" s="1525"/>
      <c r="AH100" s="1525"/>
      <c r="AI100" s="1528"/>
      <c r="AJ100" s="1528"/>
    </row>
    <row r="101" spans="1:36" s="1529" customFormat="1" ht="25.5">
      <c r="A101" s="1531"/>
      <c r="B101" s="1507" t="s">
        <v>873</v>
      </c>
      <c r="C101" s="1508"/>
      <c r="D101" s="1615"/>
      <c r="E101" s="1614">
        <f>Sheet2!G17</f>
        <v>3301997800</v>
      </c>
      <c r="F101" s="1510"/>
      <c r="G101" s="1525"/>
      <c r="H101" s="1526"/>
      <c r="I101" s="1526"/>
      <c r="J101" s="1526"/>
      <c r="K101" s="1526"/>
      <c r="L101" s="1526"/>
      <c r="M101" s="1526"/>
      <c r="N101" s="1526"/>
      <c r="O101" s="1526"/>
      <c r="P101" s="1526"/>
      <c r="Q101" s="1526"/>
      <c r="R101" s="1526"/>
      <c r="S101" s="1526"/>
      <c r="T101" s="1526"/>
      <c r="U101" s="1526"/>
      <c r="V101" s="1526"/>
      <c r="W101" s="1526"/>
      <c r="X101" s="1526"/>
      <c r="Y101" s="1526"/>
      <c r="Z101" s="1526"/>
      <c r="AA101" s="1526"/>
      <c r="AB101" s="1526"/>
      <c r="AC101" s="1526"/>
      <c r="AD101" s="1526"/>
      <c r="AE101" s="1527"/>
      <c r="AF101" s="1525"/>
      <c r="AG101" s="1525"/>
      <c r="AH101" s="1525"/>
      <c r="AI101" s="1528"/>
      <c r="AJ101" s="1528"/>
    </row>
    <row r="102" spans="1:36" s="1529" customFormat="1" ht="13.5">
      <c r="A102" s="1506">
        <v>3</v>
      </c>
      <c r="B102" s="1521" t="s">
        <v>892</v>
      </c>
      <c r="C102" s="1508">
        <v>151</v>
      </c>
      <c r="D102" s="1615"/>
      <c r="E102" s="1614">
        <f>E103</f>
        <v>509400000</v>
      </c>
      <c r="F102" s="1510"/>
      <c r="G102" s="1525"/>
      <c r="H102" s="1526"/>
      <c r="I102" s="1526"/>
      <c r="J102" s="1526"/>
      <c r="K102" s="1526"/>
      <c r="L102" s="1526"/>
      <c r="M102" s="1526"/>
      <c r="N102" s="1526"/>
      <c r="O102" s="1526"/>
      <c r="P102" s="1526"/>
      <c r="Q102" s="1526"/>
      <c r="R102" s="1526"/>
      <c r="S102" s="1526"/>
      <c r="T102" s="1526"/>
      <c r="U102" s="1526"/>
      <c r="V102" s="1526"/>
      <c r="W102" s="1526"/>
      <c r="X102" s="1526"/>
      <c r="Y102" s="1526"/>
      <c r="Z102" s="1526"/>
      <c r="AA102" s="1526"/>
      <c r="AB102" s="1526"/>
      <c r="AC102" s="1526"/>
      <c r="AD102" s="1526"/>
      <c r="AE102" s="1527"/>
      <c r="AF102" s="1525"/>
      <c r="AG102" s="1525"/>
      <c r="AH102" s="1525"/>
      <c r="AI102" s="1528"/>
      <c r="AJ102" s="1528"/>
    </row>
    <row r="103" spans="1:36" s="1529" customFormat="1" ht="13.5">
      <c r="A103" s="1506"/>
      <c r="B103" s="1521" t="s">
        <v>893</v>
      </c>
      <c r="C103" s="1508"/>
      <c r="D103" s="1615"/>
      <c r="E103" s="1614">
        <f>'DT giao 2021'!H12</f>
        <v>509400000</v>
      </c>
      <c r="F103" s="1510"/>
      <c r="G103" s="1525"/>
      <c r="H103" s="1526"/>
      <c r="I103" s="1526"/>
      <c r="J103" s="1526"/>
      <c r="K103" s="1526"/>
      <c r="L103" s="1526"/>
      <c r="M103" s="1526"/>
      <c r="N103" s="1526"/>
      <c r="O103" s="1526"/>
      <c r="P103" s="1526"/>
      <c r="Q103" s="1526"/>
      <c r="R103" s="1526"/>
      <c r="S103" s="1526"/>
      <c r="T103" s="1526"/>
      <c r="U103" s="1526"/>
      <c r="V103" s="1526"/>
      <c r="W103" s="1526"/>
      <c r="X103" s="1526"/>
      <c r="Y103" s="1526"/>
      <c r="Z103" s="1526"/>
      <c r="AA103" s="1526"/>
      <c r="AB103" s="1526"/>
      <c r="AC103" s="1526"/>
      <c r="AD103" s="1526"/>
      <c r="AE103" s="1527"/>
      <c r="AF103" s="1525"/>
      <c r="AG103" s="1525"/>
      <c r="AH103" s="1525"/>
      <c r="AI103" s="1528"/>
      <c r="AJ103" s="1528"/>
    </row>
    <row r="104" spans="1:36" s="1529" customFormat="1" ht="13.5">
      <c r="A104" s="1522">
        <v>20</v>
      </c>
      <c r="B104" s="1523" t="s">
        <v>735</v>
      </c>
      <c r="C104" s="1524"/>
      <c r="D104" s="1515">
        <f>D105+D107+D109</f>
        <v>3699000000</v>
      </c>
      <c r="E104" s="1515">
        <f>E105+E107+E109</f>
        <v>5968375722</v>
      </c>
      <c r="F104" s="1510"/>
      <c r="G104" s="1525"/>
      <c r="H104" s="1526"/>
      <c r="I104" s="1526"/>
      <c r="J104" s="1526"/>
      <c r="K104" s="1526"/>
      <c r="L104" s="1526"/>
      <c r="M104" s="1526"/>
      <c r="N104" s="1526"/>
      <c r="O104" s="1526"/>
      <c r="P104" s="1526"/>
      <c r="Q104" s="1526"/>
      <c r="R104" s="1526"/>
      <c r="S104" s="1526"/>
      <c r="T104" s="1526"/>
      <c r="U104" s="1526"/>
      <c r="V104" s="1526"/>
      <c r="W104" s="1526"/>
      <c r="X104" s="1526"/>
      <c r="Y104" s="1526"/>
      <c r="Z104" s="1526"/>
      <c r="AA104" s="1526"/>
      <c r="AB104" s="1526"/>
      <c r="AC104" s="1526"/>
      <c r="AD104" s="1526"/>
      <c r="AE104" s="1527"/>
      <c r="AF104" s="1525"/>
      <c r="AG104" s="1525"/>
      <c r="AH104" s="1525"/>
      <c r="AI104" s="1528"/>
      <c r="AJ104" s="1528"/>
    </row>
    <row r="105" spans="1:36" s="1529" customFormat="1" ht="13.5">
      <c r="A105" s="1506">
        <v>1</v>
      </c>
      <c r="B105" s="1521" t="s">
        <v>879</v>
      </c>
      <c r="C105" s="1508">
        <v>132</v>
      </c>
      <c r="D105" s="1530">
        <v>3699000000</v>
      </c>
      <c r="E105" s="1515">
        <f>E106</f>
        <v>1354648182</v>
      </c>
      <c r="F105" s="1510"/>
      <c r="G105" s="1525"/>
      <c r="H105" s="1526"/>
      <c r="I105" s="1526"/>
      <c r="J105" s="1526"/>
      <c r="K105" s="1526"/>
      <c r="L105" s="1526"/>
      <c r="M105" s="1526"/>
      <c r="N105" s="1526"/>
      <c r="O105" s="1526"/>
      <c r="P105" s="1526"/>
      <c r="Q105" s="1526"/>
      <c r="R105" s="1526"/>
      <c r="S105" s="1526"/>
      <c r="T105" s="1526"/>
      <c r="U105" s="1526"/>
      <c r="V105" s="1526"/>
      <c r="W105" s="1526"/>
      <c r="X105" s="1526"/>
      <c r="Y105" s="1526"/>
      <c r="Z105" s="1526"/>
      <c r="AA105" s="1526"/>
      <c r="AB105" s="1526"/>
      <c r="AC105" s="1526"/>
      <c r="AD105" s="1526"/>
      <c r="AE105" s="1527"/>
      <c r="AF105" s="1525"/>
      <c r="AG105" s="1525"/>
      <c r="AH105" s="1525"/>
      <c r="AI105" s="1528"/>
      <c r="AJ105" s="1528"/>
    </row>
    <row r="106" spans="1:36" s="1529" customFormat="1" ht="13.5">
      <c r="A106" s="1506"/>
      <c r="B106" s="1521" t="s">
        <v>895</v>
      </c>
      <c r="C106" s="1508"/>
      <c r="D106" s="1615"/>
      <c r="E106" s="1614">
        <f>'năm 2021 họp GĐ (phân bổ chíức)'!I72</f>
        <v>1354648182</v>
      </c>
      <c r="F106" s="1510"/>
      <c r="G106" s="1525"/>
      <c r="H106" s="1526"/>
      <c r="I106" s="1526"/>
      <c r="J106" s="1526"/>
      <c r="K106" s="1526"/>
      <c r="L106" s="1526"/>
      <c r="M106" s="1526"/>
      <c r="N106" s="1526"/>
      <c r="O106" s="1526"/>
      <c r="P106" s="1526"/>
      <c r="Q106" s="1526"/>
      <c r="R106" s="1526"/>
      <c r="S106" s="1526"/>
      <c r="T106" s="1526"/>
      <c r="U106" s="1526"/>
      <c r="V106" s="1526"/>
      <c r="W106" s="1526"/>
      <c r="X106" s="1526"/>
      <c r="Y106" s="1526"/>
      <c r="Z106" s="1526"/>
      <c r="AA106" s="1526"/>
      <c r="AB106" s="1526"/>
      <c r="AC106" s="1526"/>
      <c r="AD106" s="1526"/>
      <c r="AE106" s="1527"/>
      <c r="AF106" s="1525"/>
      <c r="AG106" s="1525"/>
      <c r="AH106" s="1525"/>
      <c r="AI106" s="1528"/>
      <c r="AJ106" s="1528"/>
    </row>
    <row r="107" spans="1:36" s="1529" customFormat="1" ht="13.5">
      <c r="A107" s="1506">
        <v>2</v>
      </c>
      <c r="B107" s="1521" t="s">
        <v>891</v>
      </c>
      <c r="C107" s="1508">
        <v>131</v>
      </c>
      <c r="D107" s="1615"/>
      <c r="E107" s="1614">
        <f>E108</f>
        <v>4118727540</v>
      </c>
      <c r="F107" s="1510"/>
      <c r="G107" s="1525"/>
      <c r="H107" s="1526"/>
      <c r="I107" s="1526"/>
      <c r="J107" s="1526"/>
      <c r="K107" s="1526"/>
      <c r="L107" s="1526"/>
      <c r="M107" s="1526"/>
      <c r="N107" s="1526"/>
      <c r="O107" s="1526"/>
      <c r="P107" s="1526"/>
      <c r="Q107" s="1526"/>
      <c r="R107" s="1526"/>
      <c r="S107" s="1526"/>
      <c r="T107" s="1526"/>
      <c r="U107" s="1526"/>
      <c r="V107" s="1526"/>
      <c r="W107" s="1526"/>
      <c r="X107" s="1526"/>
      <c r="Y107" s="1526"/>
      <c r="Z107" s="1526"/>
      <c r="AA107" s="1526"/>
      <c r="AB107" s="1526"/>
      <c r="AC107" s="1526"/>
      <c r="AD107" s="1526"/>
      <c r="AE107" s="1527"/>
      <c r="AF107" s="1525"/>
      <c r="AG107" s="1525"/>
      <c r="AH107" s="1525"/>
      <c r="AI107" s="1528"/>
      <c r="AJ107" s="1528"/>
    </row>
    <row r="108" spans="1:36" s="1529" customFormat="1" ht="25.5">
      <c r="A108" s="1531"/>
      <c r="B108" s="1507" t="s">
        <v>873</v>
      </c>
      <c r="C108" s="1508"/>
      <c r="D108" s="1615"/>
      <c r="E108" s="1614">
        <f>Sheet2!G18</f>
        <v>4118727540</v>
      </c>
      <c r="F108" s="1510"/>
      <c r="G108" s="1525"/>
      <c r="H108" s="1526"/>
      <c r="I108" s="1526"/>
      <c r="J108" s="1526"/>
      <c r="K108" s="1526"/>
      <c r="L108" s="1526"/>
      <c r="M108" s="1526"/>
      <c r="N108" s="1526"/>
      <c r="O108" s="1526"/>
      <c r="P108" s="1526"/>
      <c r="Q108" s="1526"/>
      <c r="R108" s="1526"/>
      <c r="S108" s="1526"/>
      <c r="T108" s="1526"/>
      <c r="U108" s="1526"/>
      <c r="V108" s="1526"/>
      <c r="W108" s="1526"/>
      <c r="X108" s="1526"/>
      <c r="Y108" s="1526"/>
      <c r="Z108" s="1526"/>
      <c r="AA108" s="1526"/>
      <c r="AB108" s="1526"/>
      <c r="AC108" s="1526"/>
      <c r="AD108" s="1526"/>
      <c r="AE108" s="1527"/>
      <c r="AF108" s="1525"/>
      <c r="AG108" s="1525"/>
      <c r="AH108" s="1525"/>
      <c r="AI108" s="1528"/>
      <c r="AJ108" s="1528"/>
    </row>
    <row r="109" spans="1:36" s="1529" customFormat="1" ht="13.5">
      <c r="A109" s="1506">
        <v>3</v>
      </c>
      <c r="B109" s="1521" t="s">
        <v>892</v>
      </c>
      <c r="C109" s="1508">
        <v>151</v>
      </c>
      <c r="D109" s="1615"/>
      <c r="E109" s="1614">
        <f>E110</f>
        <v>495000000</v>
      </c>
      <c r="F109" s="1510"/>
      <c r="G109" s="1525"/>
      <c r="H109" s="1526"/>
      <c r="I109" s="1526"/>
      <c r="J109" s="1526"/>
      <c r="K109" s="1526"/>
      <c r="L109" s="1526"/>
      <c r="M109" s="1526"/>
      <c r="N109" s="1526"/>
      <c r="O109" s="1526"/>
      <c r="P109" s="1526"/>
      <c r="Q109" s="1526"/>
      <c r="R109" s="1526"/>
      <c r="S109" s="1526"/>
      <c r="T109" s="1526"/>
      <c r="U109" s="1526"/>
      <c r="V109" s="1526"/>
      <c r="W109" s="1526"/>
      <c r="X109" s="1526"/>
      <c r="Y109" s="1526"/>
      <c r="Z109" s="1526"/>
      <c r="AA109" s="1526"/>
      <c r="AB109" s="1526"/>
      <c r="AC109" s="1526"/>
      <c r="AD109" s="1526"/>
      <c r="AE109" s="1527"/>
      <c r="AF109" s="1525"/>
      <c r="AG109" s="1525"/>
      <c r="AH109" s="1525"/>
      <c r="AI109" s="1528"/>
      <c r="AJ109" s="1528"/>
    </row>
    <row r="110" spans="1:36" s="1529" customFormat="1" ht="13.5">
      <c r="A110" s="1506"/>
      <c r="B110" s="1521" t="s">
        <v>893</v>
      </c>
      <c r="C110" s="1508"/>
      <c r="D110" s="1615"/>
      <c r="E110" s="1614">
        <f>'DT giao 2021'!H13</f>
        <v>495000000</v>
      </c>
      <c r="F110" s="1510"/>
      <c r="G110" s="1525"/>
      <c r="H110" s="1526"/>
      <c r="I110" s="1526"/>
      <c r="J110" s="1526"/>
      <c r="K110" s="1526"/>
      <c r="L110" s="1526"/>
      <c r="M110" s="1526"/>
      <c r="N110" s="1526"/>
      <c r="O110" s="1526"/>
      <c r="P110" s="1526"/>
      <c r="Q110" s="1526"/>
      <c r="R110" s="1526"/>
      <c r="S110" s="1526"/>
      <c r="T110" s="1526"/>
      <c r="U110" s="1526"/>
      <c r="V110" s="1526"/>
      <c r="W110" s="1526"/>
      <c r="X110" s="1526"/>
      <c r="Y110" s="1526"/>
      <c r="Z110" s="1526"/>
      <c r="AA110" s="1526"/>
      <c r="AB110" s="1526"/>
      <c r="AC110" s="1526"/>
      <c r="AD110" s="1526"/>
      <c r="AE110" s="1527"/>
      <c r="AF110" s="1525"/>
      <c r="AG110" s="1525"/>
      <c r="AH110" s="1525"/>
      <c r="AI110" s="1528"/>
      <c r="AJ110" s="1528"/>
    </row>
    <row r="111" spans="1:36" s="1529" customFormat="1" ht="13.5">
      <c r="A111" s="1522">
        <v>21</v>
      </c>
      <c r="B111" s="1523" t="s">
        <v>736</v>
      </c>
      <c r="C111" s="1524"/>
      <c r="D111" s="1515">
        <f>D112+D114+D116</f>
        <v>2233000000</v>
      </c>
      <c r="E111" s="1515">
        <f>E112+E114+E116</f>
        <v>6137157000</v>
      </c>
      <c r="F111" s="1510"/>
      <c r="G111" s="1525"/>
      <c r="H111" s="1526"/>
      <c r="I111" s="1526"/>
      <c r="J111" s="1526"/>
      <c r="K111" s="1526"/>
      <c r="L111" s="1526"/>
      <c r="M111" s="1526"/>
      <c r="N111" s="1526"/>
      <c r="O111" s="1526"/>
      <c r="P111" s="1526"/>
      <c r="Q111" s="1526"/>
      <c r="R111" s="1526"/>
      <c r="S111" s="1526"/>
      <c r="T111" s="1526"/>
      <c r="U111" s="1526"/>
      <c r="V111" s="1526"/>
      <c r="W111" s="1526"/>
      <c r="X111" s="1526"/>
      <c r="Y111" s="1526"/>
      <c r="Z111" s="1526"/>
      <c r="AA111" s="1526"/>
      <c r="AB111" s="1526"/>
      <c r="AC111" s="1526"/>
      <c r="AD111" s="1526"/>
      <c r="AE111" s="1527"/>
      <c r="AF111" s="1525"/>
      <c r="AG111" s="1525"/>
      <c r="AH111" s="1525"/>
      <c r="AI111" s="1528"/>
      <c r="AJ111" s="1528"/>
    </row>
    <row r="112" spans="1:36" s="1529" customFormat="1" ht="13.5">
      <c r="A112" s="1506">
        <v>1</v>
      </c>
      <c r="B112" s="1521" t="s">
        <v>879</v>
      </c>
      <c r="C112" s="1508">
        <v>132</v>
      </c>
      <c r="D112" s="1615">
        <v>2233000000</v>
      </c>
      <c r="E112" s="1614">
        <f>E113</f>
        <v>3059000000</v>
      </c>
      <c r="F112" s="1510"/>
      <c r="G112" s="1525"/>
      <c r="H112" s="1526"/>
      <c r="I112" s="1526"/>
      <c r="J112" s="1526"/>
      <c r="K112" s="1526"/>
      <c r="L112" s="1526"/>
      <c r="M112" s="1526"/>
      <c r="N112" s="1526"/>
      <c r="O112" s="1526"/>
      <c r="P112" s="1526"/>
      <c r="Q112" s="1526"/>
      <c r="R112" s="1526"/>
      <c r="S112" s="1526"/>
      <c r="T112" s="1526"/>
      <c r="U112" s="1526"/>
      <c r="V112" s="1526"/>
      <c r="W112" s="1526"/>
      <c r="X112" s="1526"/>
      <c r="Y112" s="1526"/>
      <c r="Z112" s="1526"/>
      <c r="AA112" s="1526"/>
      <c r="AB112" s="1526"/>
      <c r="AC112" s="1526"/>
      <c r="AD112" s="1526"/>
      <c r="AE112" s="1527"/>
      <c r="AF112" s="1525"/>
      <c r="AG112" s="1525"/>
      <c r="AH112" s="1525"/>
      <c r="AI112" s="1528"/>
      <c r="AJ112" s="1528"/>
    </row>
    <row r="113" spans="1:36" s="1529" customFormat="1" ht="13.5">
      <c r="A113" s="1506"/>
      <c r="B113" s="1521" t="s">
        <v>895</v>
      </c>
      <c r="C113" s="1508"/>
      <c r="D113" s="1615"/>
      <c r="E113" s="1614">
        <f>'năm 2021 họp GĐ (phân bổ chíức)'!I95</f>
        <v>3059000000</v>
      </c>
      <c r="F113" s="1510"/>
      <c r="G113" s="1525"/>
      <c r="H113" s="1526"/>
      <c r="I113" s="1526"/>
      <c r="J113" s="1526"/>
      <c r="K113" s="1526"/>
      <c r="L113" s="1526"/>
      <c r="M113" s="1526"/>
      <c r="N113" s="1526"/>
      <c r="O113" s="1526"/>
      <c r="P113" s="1526"/>
      <c r="Q113" s="1526"/>
      <c r="R113" s="1526"/>
      <c r="S113" s="1526"/>
      <c r="T113" s="1526"/>
      <c r="U113" s="1526"/>
      <c r="V113" s="1526"/>
      <c r="W113" s="1526"/>
      <c r="X113" s="1526"/>
      <c r="Y113" s="1526"/>
      <c r="Z113" s="1526"/>
      <c r="AA113" s="1526"/>
      <c r="AB113" s="1526"/>
      <c r="AC113" s="1526"/>
      <c r="AD113" s="1526"/>
      <c r="AE113" s="1527"/>
      <c r="AF113" s="1525"/>
      <c r="AG113" s="1525"/>
      <c r="AH113" s="1525"/>
      <c r="AI113" s="1528"/>
      <c r="AJ113" s="1528"/>
    </row>
    <row r="114" spans="1:36" s="1529" customFormat="1" ht="13.5">
      <c r="A114" s="1506">
        <v>2</v>
      </c>
      <c r="B114" s="1521" t="s">
        <v>891</v>
      </c>
      <c r="C114" s="1508">
        <v>131</v>
      </c>
      <c r="D114" s="1615"/>
      <c r="E114" s="1614">
        <f>E115</f>
        <v>2908957000</v>
      </c>
      <c r="F114" s="1510"/>
      <c r="G114" s="1525"/>
      <c r="H114" s="1526"/>
      <c r="I114" s="1526"/>
      <c r="J114" s="1526"/>
      <c r="K114" s="1526"/>
      <c r="L114" s="1526"/>
      <c r="M114" s="1526"/>
      <c r="N114" s="1526"/>
      <c r="O114" s="1526"/>
      <c r="P114" s="1526"/>
      <c r="Q114" s="1526"/>
      <c r="R114" s="1526"/>
      <c r="S114" s="1526"/>
      <c r="T114" s="1526"/>
      <c r="U114" s="1526"/>
      <c r="V114" s="1526"/>
      <c r="W114" s="1526"/>
      <c r="X114" s="1526"/>
      <c r="Y114" s="1526"/>
      <c r="Z114" s="1526"/>
      <c r="AA114" s="1526"/>
      <c r="AB114" s="1526"/>
      <c r="AC114" s="1526"/>
      <c r="AD114" s="1526"/>
      <c r="AE114" s="1527"/>
      <c r="AF114" s="1525"/>
      <c r="AG114" s="1525"/>
      <c r="AH114" s="1525"/>
      <c r="AI114" s="1528"/>
      <c r="AJ114" s="1528"/>
    </row>
    <row r="115" spans="1:36" s="1529" customFormat="1" ht="25.5">
      <c r="A115" s="1531"/>
      <c r="B115" s="1507" t="s">
        <v>873</v>
      </c>
      <c r="C115" s="1508"/>
      <c r="D115" s="1615"/>
      <c r="E115" s="1614">
        <f>Sheet2!G19</f>
        <v>2908957000</v>
      </c>
      <c r="F115" s="1510"/>
      <c r="G115" s="1525"/>
      <c r="H115" s="1526"/>
      <c r="I115" s="1526"/>
      <c r="J115" s="1526"/>
      <c r="K115" s="1526"/>
      <c r="L115" s="1526"/>
      <c r="M115" s="1526"/>
      <c r="N115" s="1526"/>
      <c r="O115" s="1526"/>
      <c r="P115" s="1526"/>
      <c r="Q115" s="1526"/>
      <c r="R115" s="1526"/>
      <c r="S115" s="1526"/>
      <c r="T115" s="1526"/>
      <c r="U115" s="1526"/>
      <c r="V115" s="1526"/>
      <c r="W115" s="1526"/>
      <c r="X115" s="1526"/>
      <c r="Y115" s="1526"/>
      <c r="Z115" s="1526"/>
      <c r="AA115" s="1526"/>
      <c r="AB115" s="1526"/>
      <c r="AC115" s="1526"/>
      <c r="AD115" s="1526"/>
      <c r="AE115" s="1527"/>
      <c r="AF115" s="1525"/>
      <c r="AG115" s="1525"/>
      <c r="AH115" s="1525"/>
      <c r="AI115" s="1528"/>
      <c r="AJ115" s="1528"/>
    </row>
    <row r="116" spans="1:36" s="1529" customFormat="1" ht="13.5">
      <c r="A116" s="1506">
        <v>3</v>
      </c>
      <c r="B116" s="1521" t="s">
        <v>892</v>
      </c>
      <c r="C116" s="1508">
        <v>151</v>
      </c>
      <c r="D116" s="1615"/>
      <c r="E116" s="1614">
        <f>E117</f>
        <v>169200000</v>
      </c>
      <c r="F116" s="1510"/>
      <c r="G116" s="1525"/>
      <c r="H116" s="1526"/>
      <c r="I116" s="1526"/>
      <c r="J116" s="1526"/>
      <c r="K116" s="1526"/>
      <c r="L116" s="1526"/>
      <c r="M116" s="1526"/>
      <c r="N116" s="1526"/>
      <c r="O116" s="1526"/>
      <c r="P116" s="1526"/>
      <c r="Q116" s="1526"/>
      <c r="R116" s="1526"/>
      <c r="S116" s="1526"/>
      <c r="T116" s="1526"/>
      <c r="U116" s="1526"/>
      <c r="V116" s="1526"/>
      <c r="W116" s="1526"/>
      <c r="X116" s="1526"/>
      <c r="Y116" s="1526"/>
      <c r="Z116" s="1526"/>
      <c r="AA116" s="1526"/>
      <c r="AB116" s="1526"/>
      <c r="AC116" s="1526"/>
      <c r="AD116" s="1526"/>
      <c r="AE116" s="1527"/>
      <c r="AF116" s="1525"/>
      <c r="AG116" s="1525"/>
      <c r="AH116" s="1525"/>
      <c r="AI116" s="1528"/>
      <c r="AJ116" s="1528"/>
    </row>
    <row r="117" spans="1:36" s="1529" customFormat="1" ht="13.5">
      <c r="A117" s="1506"/>
      <c r="B117" s="1521" t="s">
        <v>893</v>
      </c>
      <c r="C117" s="1508"/>
      <c r="D117" s="1615"/>
      <c r="E117" s="1614">
        <f>'DT giao 2021'!H14</f>
        <v>169200000</v>
      </c>
      <c r="F117" s="1510"/>
      <c r="G117" s="1525"/>
      <c r="H117" s="1526"/>
      <c r="I117" s="1526"/>
      <c r="J117" s="1526"/>
      <c r="K117" s="1526"/>
      <c r="L117" s="1526"/>
      <c r="M117" s="1526"/>
      <c r="N117" s="1526"/>
      <c r="O117" s="1526"/>
      <c r="P117" s="1526"/>
      <c r="Q117" s="1526"/>
      <c r="R117" s="1526"/>
      <c r="S117" s="1526"/>
      <c r="T117" s="1526"/>
      <c r="U117" s="1526"/>
      <c r="V117" s="1526"/>
      <c r="W117" s="1526"/>
      <c r="X117" s="1526"/>
      <c r="Y117" s="1526"/>
      <c r="Z117" s="1526"/>
      <c r="AA117" s="1526"/>
      <c r="AB117" s="1526"/>
      <c r="AC117" s="1526"/>
      <c r="AD117" s="1526"/>
      <c r="AE117" s="1527"/>
      <c r="AF117" s="1525"/>
      <c r="AG117" s="1525"/>
      <c r="AH117" s="1525"/>
      <c r="AI117" s="1528"/>
      <c r="AJ117" s="1528"/>
    </row>
    <row r="118" spans="1:36" s="1529" customFormat="1" ht="13.5">
      <c r="A118" s="1522">
        <v>22</v>
      </c>
      <c r="B118" s="1523" t="s">
        <v>737</v>
      </c>
      <c r="C118" s="1524"/>
      <c r="D118" s="1515">
        <f>D119+D121+D123</f>
        <v>2901000000</v>
      </c>
      <c r="E118" s="1515">
        <f>E119+E121+E123</f>
        <v>4912771000</v>
      </c>
      <c r="F118" s="1510"/>
      <c r="G118" s="1525"/>
      <c r="H118" s="1526"/>
      <c r="I118" s="1526"/>
      <c r="J118" s="1526"/>
      <c r="K118" s="1526"/>
      <c r="L118" s="1526"/>
      <c r="M118" s="1526"/>
      <c r="N118" s="1526"/>
      <c r="O118" s="1526"/>
      <c r="P118" s="1526"/>
      <c r="Q118" s="1526"/>
      <c r="R118" s="1526"/>
      <c r="S118" s="1526"/>
      <c r="T118" s="1526"/>
      <c r="U118" s="1526"/>
      <c r="V118" s="1526"/>
      <c r="W118" s="1526"/>
      <c r="X118" s="1526"/>
      <c r="Y118" s="1526"/>
      <c r="Z118" s="1526"/>
      <c r="AA118" s="1526"/>
      <c r="AB118" s="1526"/>
      <c r="AC118" s="1526"/>
      <c r="AD118" s="1526"/>
      <c r="AE118" s="1527"/>
      <c r="AF118" s="1525"/>
      <c r="AG118" s="1525"/>
      <c r="AH118" s="1525"/>
      <c r="AI118" s="1528"/>
      <c r="AJ118" s="1528"/>
    </row>
    <row r="119" spans="1:36" s="1529" customFormat="1" ht="13.5">
      <c r="A119" s="1506">
        <v>1</v>
      </c>
      <c r="B119" s="1521" t="s">
        <v>879</v>
      </c>
      <c r="C119" s="1508">
        <v>132</v>
      </c>
      <c r="D119" s="1615">
        <v>2901000000</v>
      </c>
      <c r="E119" s="1614">
        <f>E120</f>
        <v>1695302000</v>
      </c>
      <c r="F119" s="1510"/>
      <c r="G119" s="1525"/>
      <c r="H119" s="1526"/>
      <c r="I119" s="1526"/>
      <c r="J119" s="1526"/>
      <c r="K119" s="1526"/>
      <c r="L119" s="1526"/>
      <c r="M119" s="1526"/>
      <c r="N119" s="1526"/>
      <c r="O119" s="1526"/>
      <c r="P119" s="1526"/>
      <c r="Q119" s="1526"/>
      <c r="R119" s="1526"/>
      <c r="S119" s="1526"/>
      <c r="T119" s="1526"/>
      <c r="U119" s="1526"/>
      <c r="V119" s="1526"/>
      <c r="W119" s="1526"/>
      <c r="X119" s="1526"/>
      <c r="Y119" s="1526"/>
      <c r="Z119" s="1526"/>
      <c r="AA119" s="1526"/>
      <c r="AB119" s="1526"/>
      <c r="AC119" s="1526"/>
      <c r="AD119" s="1526"/>
      <c r="AE119" s="1527"/>
      <c r="AF119" s="1525"/>
      <c r="AG119" s="1525"/>
      <c r="AH119" s="1525"/>
      <c r="AI119" s="1528"/>
      <c r="AJ119" s="1528"/>
    </row>
    <row r="120" spans="1:36" s="1529" customFormat="1" ht="13.5">
      <c r="A120" s="1506"/>
      <c r="B120" s="1521" t="s">
        <v>895</v>
      </c>
      <c r="C120" s="1508"/>
      <c r="D120" s="1615"/>
      <c r="E120" s="1614">
        <f>'năm 2021 họp GĐ (phân bổ chíức)'!I33</f>
        <v>1695302000</v>
      </c>
      <c r="F120" s="1510"/>
      <c r="G120" s="1525"/>
      <c r="H120" s="1526"/>
      <c r="I120" s="1526"/>
      <c r="J120" s="1526"/>
      <c r="K120" s="1526"/>
      <c r="L120" s="1526"/>
      <c r="M120" s="1526"/>
      <c r="N120" s="1526"/>
      <c r="O120" s="1526"/>
      <c r="P120" s="1526"/>
      <c r="Q120" s="1526"/>
      <c r="R120" s="1526"/>
      <c r="S120" s="1526"/>
      <c r="T120" s="1526"/>
      <c r="U120" s="1526"/>
      <c r="V120" s="1526"/>
      <c r="W120" s="1526"/>
      <c r="X120" s="1526"/>
      <c r="Y120" s="1526"/>
      <c r="Z120" s="1526"/>
      <c r="AA120" s="1526"/>
      <c r="AB120" s="1526"/>
      <c r="AC120" s="1526"/>
      <c r="AD120" s="1526"/>
      <c r="AE120" s="1527"/>
      <c r="AF120" s="1525"/>
      <c r="AG120" s="1525"/>
      <c r="AH120" s="1525"/>
      <c r="AI120" s="1528"/>
      <c r="AJ120" s="1528"/>
    </row>
    <row r="121" spans="1:36" s="1529" customFormat="1" ht="13.5">
      <c r="A121" s="1506">
        <v>2</v>
      </c>
      <c r="B121" s="1521" t="s">
        <v>891</v>
      </c>
      <c r="C121" s="1508">
        <v>131</v>
      </c>
      <c r="D121" s="1615"/>
      <c r="E121" s="1614">
        <f>E122</f>
        <v>2994269000</v>
      </c>
      <c r="F121" s="1510"/>
      <c r="G121" s="1525"/>
      <c r="H121" s="1526"/>
      <c r="I121" s="1526"/>
      <c r="J121" s="1526"/>
      <c r="K121" s="1526"/>
      <c r="L121" s="1526"/>
      <c r="M121" s="1526"/>
      <c r="N121" s="1526"/>
      <c r="O121" s="1526"/>
      <c r="P121" s="1526"/>
      <c r="Q121" s="1526"/>
      <c r="R121" s="1526"/>
      <c r="S121" s="1526"/>
      <c r="T121" s="1526"/>
      <c r="U121" s="1526"/>
      <c r="V121" s="1526"/>
      <c r="W121" s="1526"/>
      <c r="X121" s="1526"/>
      <c r="Y121" s="1526"/>
      <c r="Z121" s="1526"/>
      <c r="AA121" s="1526"/>
      <c r="AB121" s="1526"/>
      <c r="AC121" s="1526"/>
      <c r="AD121" s="1526"/>
      <c r="AE121" s="1527"/>
      <c r="AF121" s="1525"/>
      <c r="AG121" s="1525"/>
      <c r="AH121" s="1525"/>
      <c r="AI121" s="1528"/>
      <c r="AJ121" s="1528"/>
    </row>
    <row r="122" spans="1:36" s="1529" customFormat="1" ht="25.5">
      <c r="A122" s="1531"/>
      <c r="B122" s="1507" t="s">
        <v>873</v>
      </c>
      <c r="C122" s="1508"/>
      <c r="D122" s="1615"/>
      <c r="E122" s="1614">
        <f>Sheet2!G20</f>
        <v>2994269000</v>
      </c>
      <c r="F122" s="1510"/>
      <c r="G122" s="1525"/>
      <c r="H122" s="1526"/>
      <c r="I122" s="1526"/>
      <c r="J122" s="1526"/>
      <c r="K122" s="1526"/>
      <c r="L122" s="1526"/>
      <c r="M122" s="1526"/>
      <c r="N122" s="1526"/>
      <c r="O122" s="1526"/>
      <c r="P122" s="1526"/>
      <c r="Q122" s="1526"/>
      <c r="R122" s="1526"/>
      <c r="S122" s="1526"/>
      <c r="T122" s="1526"/>
      <c r="U122" s="1526"/>
      <c r="V122" s="1526"/>
      <c r="W122" s="1526"/>
      <c r="X122" s="1526"/>
      <c r="Y122" s="1526"/>
      <c r="Z122" s="1526"/>
      <c r="AA122" s="1526"/>
      <c r="AB122" s="1526"/>
      <c r="AC122" s="1526"/>
      <c r="AD122" s="1526"/>
      <c r="AE122" s="1527"/>
      <c r="AF122" s="1525"/>
      <c r="AG122" s="1525"/>
      <c r="AH122" s="1525"/>
      <c r="AI122" s="1528"/>
      <c r="AJ122" s="1528"/>
    </row>
    <row r="123" spans="1:36" s="1529" customFormat="1" ht="13.5">
      <c r="A123" s="1506">
        <v>3</v>
      </c>
      <c r="B123" s="1521" t="s">
        <v>892</v>
      </c>
      <c r="C123" s="1508">
        <v>151</v>
      </c>
      <c r="D123" s="1615"/>
      <c r="E123" s="1614">
        <f>E124</f>
        <v>223200000</v>
      </c>
      <c r="F123" s="1510"/>
      <c r="G123" s="1525"/>
      <c r="H123" s="1526"/>
      <c r="I123" s="1526"/>
      <c r="J123" s="1526"/>
      <c r="K123" s="1526"/>
      <c r="L123" s="1526"/>
      <c r="M123" s="1526"/>
      <c r="N123" s="1526"/>
      <c r="O123" s="1526"/>
      <c r="P123" s="1526"/>
      <c r="Q123" s="1526"/>
      <c r="R123" s="1526"/>
      <c r="S123" s="1526"/>
      <c r="T123" s="1526"/>
      <c r="U123" s="1526"/>
      <c r="V123" s="1526"/>
      <c r="W123" s="1526"/>
      <c r="X123" s="1526"/>
      <c r="Y123" s="1526"/>
      <c r="Z123" s="1526"/>
      <c r="AA123" s="1526"/>
      <c r="AB123" s="1526"/>
      <c r="AC123" s="1526"/>
      <c r="AD123" s="1526"/>
      <c r="AE123" s="1527"/>
      <c r="AF123" s="1525"/>
      <c r="AG123" s="1525"/>
      <c r="AH123" s="1525"/>
      <c r="AI123" s="1528"/>
      <c r="AJ123" s="1528"/>
    </row>
    <row r="124" spans="1:36" s="1529" customFormat="1" ht="13.5">
      <c r="A124" s="1506"/>
      <c r="B124" s="1521" t="s">
        <v>893</v>
      </c>
      <c r="C124" s="1508"/>
      <c r="D124" s="1615"/>
      <c r="E124" s="1614">
        <f>'DT giao 2021'!H15</f>
        <v>223200000</v>
      </c>
      <c r="F124" s="1510"/>
      <c r="G124" s="1525"/>
      <c r="H124" s="1526"/>
      <c r="I124" s="1526"/>
      <c r="J124" s="1526"/>
      <c r="K124" s="1526"/>
      <c r="L124" s="1526"/>
      <c r="M124" s="1526"/>
      <c r="N124" s="1526"/>
      <c r="O124" s="1526"/>
      <c r="P124" s="1526"/>
      <c r="Q124" s="1526"/>
      <c r="R124" s="1526"/>
      <c r="S124" s="1526"/>
      <c r="T124" s="1526"/>
      <c r="U124" s="1526"/>
      <c r="V124" s="1526"/>
      <c r="W124" s="1526"/>
      <c r="X124" s="1526"/>
      <c r="Y124" s="1526"/>
      <c r="Z124" s="1526"/>
      <c r="AA124" s="1526"/>
      <c r="AB124" s="1526"/>
      <c r="AC124" s="1526"/>
      <c r="AD124" s="1526"/>
      <c r="AE124" s="1527"/>
      <c r="AF124" s="1525"/>
      <c r="AG124" s="1525"/>
      <c r="AH124" s="1525"/>
      <c r="AI124" s="1528"/>
      <c r="AJ124" s="1528"/>
    </row>
    <row r="125" spans="1:36" s="1529" customFormat="1" ht="13.5">
      <c r="A125" s="1522">
        <v>23</v>
      </c>
      <c r="B125" s="1523" t="s">
        <v>738</v>
      </c>
      <c r="C125" s="1524"/>
      <c r="D125" s="1515">
        <f>D126+D128+D130</f>
        <v>3006000000</v>
      </c>
      <c r="E125" s="1515">
        <f>E126+E128+E130</f>
        <v>5959929000</v>
      </c>
      <c r="F125" s="1510"/>
      <c r="G125" s="1525"/>
      <c r="H125" s="1526"/>
      <c r="I125" s="1526"/>
      <c r="J125" s="1526"/>
      <c r="K125" s="1526"/>
      <c r="L125" s="1526"/>
      <c r="M125" s="1526"/>
      <c r="N125" s="1526"/>
      <c r="O125" s="1526"/>
      <c r="P125" s="1526"/>
      <c r="Q125" s="1526"/>
      <c r="R125" s="1526"/>
      <c r="S125" s="1526"/>
      <c r="T125" s="1526"/>
      <c r="U125" s="1526"/>
      <c r="V125" s="1526"/>
      <c r="W125" s="1526"/>
      <c r="X125" s="1526"/>
      <c r="Y125" s="1526"/>
      <c r="Z125" s="1526"/>
      <c r="AA125" s="1526"/>
      <c r="AB125" s="1526"/>
      <c r="AC125" s="1526"/>
      <c r="AD125" s="1526"/>
      <c r="AE125" s="1527"/>
      <c r="AF125" s="1525"/>
      <c r="AG125" s="1525"/>
      <c r="AH125" s="1525"/>
      <c r="AI125" s="1528"/>
      <c r="AJ125" s="1528"/>
    </row>
    <row r="126" spans="1:36" s="1529" customFormat="1" ht="13.5">
      <c r="A126" s="1506">
        <v>1</v>
      </c>
      <c r="B126" s="1521" t="s">
        <v>879</v>
      </c>
      <c r="C126" s="1508">
        <v>132</v>
      </c>
      <c r="D126" s="1615">
        <v>3006000000</v>
      </c>
      <c r="E126" s="1614">
        <f>E127</f>
        <v>2931221000</v>
      </c>
      <c r="F126" s="1510"/>
      <c r="G126" s="1525"/>
      <c r="H126" s="1526"/>
      <c r="I126" s="1526"/>
      <c r="J126" s="1526"/>
      <c r="K126" s="1526"/>
      <c r="L126" s="1526"/>
      <c r="M126" s="1526"/>
      <c r="N126" s="1526"/>
      <c r="O126" s="1526"/>
      <c r="P126" s="1526"/>
      <c r="Q126" s="1526"/>
      <c r="R126" s="1526"/>
      <c r="S126" s="1526"/>
      <c r="T126" s="1526"/>
      <c r="U126" s="1526"/>
      <c r="V126" s="1526"/>
      <c r="W126" s="1526"/>
      <c r="X126" s="1526"/>
      <c r="Y126" s="1526"/>
      <c r="Z126" s="1526"/>
      <c r="AA126" s="1526"/>
      <c r="AB126" s="1526"/>
      <c r="AC126" s="1526"/>
      <c r="AD126" s="1526"/>
      <c r="AE126" s="1527"/>
      <c r="AF126" s="1525"/>
      <c r="AG126" s="1525"/>
      <c r="AH126" s="1525"/>
      <c r="AI126" s="1528"/>
      <c r="AJ126" s="1528"/>
    </row>
    <row r="127" spans="1:36" s="1529" customFormat="1" ht="13.5">
      <c r="A127" s="1506"/>
      <c r="B127" s="1521" t="s">
        <v>895</v>
      </c>
      <c r="C127" s="1508"/>
      <c r="D127" s="1615"/>
      <c r="E127" s="1614">
        <f>'năm 2021 họp GĐ (phân bổ chíức)'!I87</f>
        <v>2931221000</v>
      </c>
      <c r="F127" s="1510"/>
      <c r="G127" s="1525"/>
      <c r="H127" s="1526"/>
      <c r="I127" s="1526"/>
      <c r="J127" s="1526"/>
      <c r="K127" s="1526"/>
      <c r="L127" s="1526"/>
      <c r="M127" s="1526"/>
      <c r="N127" s="1526"/>
      <c r="O127" s="1526"/>
      <c r="P127" s="1526"/>
      <c r="Q127" s="1526"/>
      <c r="R127" s="1526"/>
      <c r="S127" s="1526"/>
      <c r="T127" s="1526"/>
      <c r="U127" s="1526"/>
      <c r="V127" s="1526"/>
      <c r="W127" s="1526"/>
      <c r="X127" s="1526"/>
      <c r="Y127" s="1526"/>
      <c r="Z127" s="1526"/>
      <c r="AA127" s="1526"/>
      <c r="AB127" s="1526"/>
      <c r="AC127" s="1526"/>
      <c r="AD127" s="1526"/>
      <c r="AE127" s="1527"/>
      <c r="AF127" s="1525"/>
      <c r="AG127" s="1525"/>
      <c r="AH127" s="1525"/>
      <c r="AI127" s="1528"/>
      <c r="AJ127" s="1528"/>
    </row>
    <row r="128" spans="1:36" s="1529" customFormat="1" ht="13.5">
      <c r="A128" s="1506">
        <v>2</v>
      </c>
      <c r="B128" s="1521" t="s">
        <v>891</v>
      </c>
      <c r="C128" s="1508">
        <v>131</v>
      </c>
      <c r="D128" s="1615"/>
      <c r="E128" s="1614">
        <f>E129</f>
        <v>2823508000</v>
      </c>
      <c r="F128" s="1510"/>
      <c r="G128" s="1525"/>
      <c r="H128" s="1526"/>
      <c r="I128" s="1526"/>
      <c r="J128" s="1526"/>
      <c r="K128" s="1526"/>
      <c r="L128" s="1526"/>
      <c r="M128" s="1526"/>
      <c r="N128" s="1526"/>
      <c r="O128" s="1526"/>
      <c r="P128" s="1526"/>
      <c r="Q128" s="1526"/>
      <c r="R128" s="1526"/>
      <c r="S128" s="1526"/>
      <c r="T128" s="1526"/>
      <c r="U128" s="1526"/>
      <c r="V128" s="1526"/>
      <c r="W128" s="1526"/>
      <c r="X128" s="1526"/>
      <c r="Y128" s="1526"/>
      <c r="Z128" s="1526"/>
      <c r="AA128" s="1526"/>
      <c r="AB128" s="1526"/>
      <c r="AC128" s="1526"/>
      <c r="AD128" s="1526"/>
      <c r="AE128" s="1527"/>
      <c r="AF128" s="1525"/>
      <c r="AG128" s="1525"/>
      <c r="AH128" s="1525"/>
      <c r="AI128" s="1528"/>
      <c r="AJ128" s="1528"/>
    </row>
    <row r="129" spans="1:36" s="1529" customFormat="1" ht="25.5">
      <c r="A129" s="1531"/>
      <c r="B129" s="1507" t="s">
        <v>873</v>
      </c>
      <c r="C129" s="1508"/>
      <c r="D129" s="1615"/>
      <c r="E129" s="1614">
        <f>Sheet2!G21</f>
        <v>2823508000</v>
      </c>
      <c r="F129" s="1510"/>
      <c r="G129" s="1525"/>
      <c r="H129" s="1526"/>
      <c r="I129" s="1526"/>
      <c r="J129" s="1526"/>
      <c r="K129" s="1526"/>
      <c r="L129" s="1526"/>
      <c r="M129" s="1526"/>
      <c r="N129" s="1526"/>
      <c r="O129" s="1526"/>
      <c r="P129" s="1526"/>
      <c r="Q129" s="1526"/>
      <c r="R129" s="1526"/>
      <c r="S129" s="1526"/>
      <c r="T129" s="1526"/>
      <c r="U129" s="1526"/>
      <c r="V129" s="1526"/>
      <c r="W129" s="1526"/>
      <c r="X129" s="1526"/>
      <c r="Y129" s="1526"/>
      <c r="Z129" s="1526"/>
      <c r="AA129" s="1526"/>
      <c r="AB129" s="1526"/>
      <c r="AC129" s="1526"/>
      <c r="AD129" s="1526"/>
      <c r="AE129" s="1527"/>
      <c r="AF129" s="1525"/>
      <c r="AG129" s="1525"/>
      <c r="AH129" s="1525"/>
      <c r="AI129" s="1528"/>
      <c r="AJ129" s="1528"/>
    </row>
    <row r="130" spans="1:36" s="1529" customFormat="1" ht="13.5">
      <c r="A130" s="1506">
        <v>3</v>
      </c>
      <c r="B130" s="1521" t="s">
        <v>892</v>
      </c>
      <c r="C130" s="1508">
        <v>151</v>
      </c>
      <c r="D130" s="1615"/>
      <c r="E130" s="1614">
        <f>E131</f>
        <v>205200000</v>
      </c>
      <c r="F130" s="1510"/>
      <c r="G130" s="1525"/>
      <c r="H130" s="1526"/>
      <c r="I130" s="1526"/>
      <c r="J130" s="1526"/>
      <c r="K130" s="1526"/>
      <c r="L130" s="1526"/>
      <c r="M130" s="1526"/>
      <c r="N130" s="1526"/>
      <c r="O130" s="1526"/>
      <c r="P130" s="1526"/>
      <c r="Q130" s="1526"/>
      <c r="R130" s="1526"/>
      <c r="S130" s="1526"/>
      <c r="T130" s="1526"/>
      <c r="U130" s="1526"/>
      <c r="V130" s="1526"/>
      <c r="W130" s="1526"/>
      <c r="X130" s="1526"/>
      <c r="Y130" s="1526"/>
      <c r="Z130" s="1526"/>
      <c r="AA130" s="1526"/>
      <c r="AB130" s="1526"/>
      <c r="AC130" s="1526"/>
      <c r="AD130" s="1526"/>
      <c r="AE130" s="1527"/>
      <c r="AF130" s="1525"/>
      <c r="AG130" s="1525"/>
      <c r="AH130" s="1525"/>
      <c r="AI130" s="1528"/>
      <c r="AJ130" s="1528"/>
    </row>
    <row r="131" spans="1:36" s="1529" customFormat="1" ht="13.5">
      <c r="A131" s="1534"/>
      <c r="B131" s="1535" t="s">
        <v>893</v>
      </c>
      <c r="C131" s="1508"/>
      <c r="D131" s="1616"/>
      <c r="E131" s="1617">
        <f>'DT giao 2021'!H16</f>
        <v>205200000</v>
      </c>
      <c r="F131" s="1510"/>
      <c r="G131" s="1525"/>
      <c r="H131" s="1526"/>
      <c r="I131" s="1526"/>
      <c r="J131" s="1526"/>
      <c r="K131" s="1526"/>
      <c r="L131" s="1526"/>
      <c r="M131" s="1526"/>
      <c r="N131" s="1526"/>
      <c r="O131" s="1526"/>
      <c r="P131" s="1526"/>
      <c r="Q131" s="1526"/>
      <c r="R131" s="1526"/>
      <c r="S131" s="1526"/>
      <c r="T131" s="1526"/>
      <c r="U131" s="1526"/>
      <c r="V131" s="1526"/>
      <c r="W131" s="1526"/>
      <c r="X131" s="1526"/>
      <c r="Y131" s="1526"/>
      <c r="Z131" s="1526"/>
      <c r="AA131" s="1526"/>
      <c r="AB131" s="1526"/>
      <c r="AC131" s="1526"/>
      <c r="AD131" s="1526"/>
      <c r="AE131" s="1527"/>
      <c r="AF131" s="1525"/>
      <c r="AG131" s="1525"/>
      <c r="AH131" s="1525"/>
      <c r="AI131" s="1528"/>
      <c r="AJ131" s="1528"/>
    </row>
    <row r="132" spans="1:36" s="1485" customFormat="1">
      <c r="A132" s="1536"/>
      <c r="B132" s="1536" t="s">
        <v>244</v>
      </c>
      <c r="C132" s="1537"/>
      <c r="D132" s="1538">
        <f>D6+D13+D39</f>
        <v>95479000000</v>
      </c>
      <c r="E132" s="1538">
        <f>E6+E13+E39</f>
        <v>104189107077</v>
      </c>
      <c r="F132" s="1539"/>
      <c r="G132" s="1502"/>
      <c r="H132" s="1503"/>
      <c r="I132" s="1503"/>
      <c r="J132" s="1503"/>
      <c r="K132" s="1503"/>
      <c r="L132" s="1503"/>
      <c r="M132" s="1503"/>
      <c r="N132" s="1503"/>
      <c r="O132" s="1503"/>
      <c r="P132" s="1503"/>
      <c r="Q132" s="1503"/>
      <c r="R132" s="1503"/>
      <c r="S132" s="1503"/>
      <c r="T132" s="1503"/>
      <c r="U132" s="1503"/>
      <c r="V132" s="1503"/>
      <c r="W132" s="1503"/>
      <c r="X132" s="1503"/>
      <c r="Y132" s="1503"/>
      <c r="Z132" s="1503"/>
      <c r="AA132" s="1503"/>
      <c r="AB132" s="1503"/>
      <c r="AC132" s="1503"/>
      <c r="AD132" s="1503"/>
      <c r="AE132" s="1504"/>
      <c r="AF132" s="1502"/>
      <c r="AG132" s="1502"/>
      <c r="AH132" s="1502"/>
      <c r="AI132" s="1505"/>
      <c r="AJ132" s="1505"/>
    </row>
    <row r="134" spans="1:36">
      <c r="B134" s="1622" t="s">
        <v>894</v>
      </c>
      <c r="C134" s="1623">
        <f>SUM(C135:C141)</f>
        <v>126821300000</v>
      </c>
      <c r="D134" s="1495" t="s">
        <v>1004</v>
      </c>
    </row>
    <row r="135" spans="1:36" ht="25.5">
      <c r="B135" s="1624" t="s">
        <v>1007</v>
      </c>
      <c r="C135" s="1625">
        <v>203000000</v>
      </c>
      <c r="D135" s="1495" t="s">
        <v>1004</v>
      </c>
    </row>
    <row r="136" spans="1:36">
      <c r="B136" s="1624" t="s">
        <v>1008</v>
      </c>
      <c r="C136" s="1626">
        <v>21460700000</v>
      </c>
      <c r="D136" s="1495" t="s">
        <v>1004</v>
      </c>
    </row>
    <row r="137" spans="1:36">
      <c r="B137" s="1624" t="s">
        <v>1009</v>
      </c>
      <c r="C137" s="1626">
        <v>27211600000</v>
      </c>
      <c r="D137" s="1495" t="s">
        <v>1004</v>
      </c>
    </row>
    <row r="138" spans="1:36" ht="25.5">
      <c r="B138" s="1624" t="s">
        <v>1010</v>
      </c>
      <c r="C138" s="1627">
        <v>6261000000</v>
      </c>
      <c r="D138" s="1495" t="s">
        <v>1004</v>
      </c>
    </row>
    <row r="139" spans="1:36" s="1541" customFormat="1" ht="25.5">
      <c r="A139" s="1540"/>
      <c r="B139" s="1624" t="s">
        <v>1011</v>
      </c>
      <c r="C139" s="1627">
        <v>23185000000</v>
      </c>
      <c r="D139" s="1495" t="s">
        <v>1004</v>
      </c>
      <c r="E139" s="1631"/>
      <c r="F139" s="1543"/>
      <c r="G139" s="1544"/>
      <c r="H139" s="1543"/>
      <c r="I139" s="1543"/>
      <c r="J139" s="1543"/>
      <c r="K139" s="1543"/>
      <c r="L139" s="1543"/>
      <c r="M139" s="1543"/>
      <c r="N139" s="1543"/>
      <c r="O139" s="1543"/>
      <c r="P139" s="1543"/>
      <c r="Q139" s="1543"/>
      <c r="R139" s="1543"/>
      <c r="S139" s="1543"/>
      <c r="T139" s="1543"/>
      <c r="U139" s="1543"/>
      <c r="V139" s="1543"/>
      <c r="W139" s="1543"/>
      <c r="X139" s="1543"/>
      <c r="Y139" s="1543"/>
      <c r="Z139" s="1543"/>
      <c r="AA139" s="1543"/>
      <c r="AB139" s="1543"/>
      <c r="AC139" s="1543"/>
      <c r="AD139" s="1543"/>
      <c r="AE139" s="1545"/>
      <c r="AF139" s="1544"/>
      <c r="AG139" s="1544"/>
      <c r="AH139" s="1544"/>
      <c r="AI139" s="1546"/>
      <c r="AJ139" s="1546"/>
    </row>
    <row r="140" spans="1:36" ht="25.5">
      <c r="B140" s="1624" t="s">
        <v>1012</v>
      </c>
      <c r="C140" s="1628">
        <v>21500000000</v>
      </c>
      <c r="D140" s="1495" t="s">
        <v>1004</v>
      </c>
    </row>
    <row r="141" spans="1:36" s="1541" customFormat="1" ht="25.5">
      <c r="A141" s="1540"/>
      <c r="B141" s="1624" t="s">
        <v>1013</v>
      </c>
      <c r="C141" s="1627">
        <v>27000000000</v>
      </c>
      <c r="D141" s="1495" t="s">
        <v>1004</v>
      </c>
      <c r="E141" s="1631"/>
      <c r="F141" s="1543"/>
      <c r="G141" s="1544"/>
      <c r="H141" s="1543"/>
      <c r="I141" s="1543"/>
      <c r="J141" s="1543"/>
      <c r="K141" s="1543"/>
      <c r="L141" s="1543"/>
      <c r="M141" s="1543"/>
      <c r="N141" s="1543"/>
      <c r="O141" s="1543"/>
      <c r="P141" s="1543"/>
      <c r="Q141" s="1543"/>
      <c r="R141" s="1543"/>
      <c r="S141" s="1543"/>
      <c r="T141" s="1543"/>
      <c r="U141" s="1543"/>
      <c r="V141" s="1543"/>
      <c r="W141" s="1543"/>
      <c r="X141" s="1543"/>
      <c r="Y141" s="1543"/>
      <c r="Z141" s="1543"/>
      <c r="AA141" s="1543"/>
      <c r="AB141" s="1543"/>
      <c r="AC141" s="1543"/>
      <c r="AD141" s="1543"/>
      <c r="AE141" s="1545"/>
      <c r="AF141" s="1544"/>
      <c r="AG141" s="1544"/>
      <c r="AH141" s="1544"/>
      <c r="AI141" s="1546"/>
      <c r="AJ141" s="1546"/>
    </row>
    <row r="142" spans="1:36">
      <c r="B142" s="1541" t="s">
        <v>1014</v>
      </c>
      <c r="C142" s="1542">
        <f>C143+C144+C145+C146+C147</f>
        <v>103433824077</v>
      </c>
      <c r="D142" s="1495" t="s">
        <v>1004</v>
      </c>
    </row>
    <row r="143" spans="1:36">
      <c r="B143" s="1633" t="s">
        <v>889</v>
      </c>
      <c r="C143" s="1630">
        <f>E16+E20+E24+E27+E34+E38+E41</f>
        <v>29446000000</v>
      </c>
      <c r="D143" s="1495" t="s">
        <v>1004</v>
      </c>
    </row>
    <row r="144" spans="1:36">
      <c r="B144" s="1521" t="s">
        <v>1018</v>
      </c>
      <c r="C144" s="1629">
        <f>'DT giao 2021'!H17</f>
        <v>4476600000</v>
      </c>
      <c r="D144" s="1495" t="s">
        <v>1004</v>
      </c>
    </row>
    <row r="145" spans="1:36" ht="25.5">
      <c r="B145" s="1495" t="s">
        <v>1015</v>
      </c>
      <c r="C145" s="1495">
        <f>E8+E10+E12+E29+E35+E44+E18+E22+E31</f>
        <v>68047010390</v>
      </c>
      <c r="D145" s="1495" t="s">
        <v>1004</v>
      </c>
      <c r="E145" s="1632"/>
    </row>
    <row r="146" spans="1:36" ht="38.25">
      <c r="B146" s="1495" t="s">
        <v>1016</v>
      </c>
      <c r="C146" s="1495">
        <f>E17+E21+E25+E71+E79</f>
        <v>999850687</v>
      </c>
      <c r="D146" s="1495" t="s">
        <v>1004</v>
      </c>
      <c r="E146" s="1632"/>
    </row>
    <row r="147" spans="1:36" ht="25.5">
      <c r="B147" s="1507" t="s">
        <v>1017</v>
      </c>
      <c r="C147" s="1495">
        <f>E36</f>
        <v>464363000</v>
      </c>
      <c r="D147" s="1495" t="s">
        <v>1004</v>
      </c>
    </row>
    <row r="148" spans="1:36">
      <c r="C148" s="1542"/>
      <c r="D148" s="1495" t="s">
        <v>1004</v>
      </c>
    </row>
    <row r="149" spans="1:36" s="1541" customFormat="1">
      <c r="A149" s="1540"/>
      <c r="B149" s="1541" t="s">
        <v>1022</v>
      </c>
      <c r="C149" s="1542">
        <f>C150+C151+C152</f>
        <v>23387475923</v>
      </c>
      <c r="D149" s="1495" t="s">
        <v>1004</v>
      </c>
      <c r="E149" s="1542"/>
      <c r="F149" s="1543"/>
      <c r="G149" s="1544"/>
      <c r="H149" s="1543"/>
      <c r="I149" s="1543"/>
      <c r="J149" s="1543"/>
      <c r="K149" s="1543"/>
      <c r="L149" s="1543"/>
      <c r="M149" s="1543"/>
      <c r="N149" s="1543"/>
      <c r="O149" s="1543"/>
      <c r="P149" s="1543"/>
      <c r="Q149" s="1543"/>
      <c r="R149" s="1543"/>
      <c r="S149" s="1543"/>
      <c r="T149" s="1543"/>
      <c r="U149" s="1543"/>
      <c r="V149" s="1543"/>
      <c r="W149" s="1543"/>
      <c r="X149" s="1543"/>
      <c r="Y149" s="1543"/>
      <c r="Z149" s="1543"/>
      <c r="AA149" s="1543"/>
      <c r="AB149" s="1543"/>
      <c r="AC149" s="1543"/>
      <c r="AD149" s="1543"/>
      <c r="AE149" s="1545"/>
      <c r="AF149" s="1544"/>
      <c r="AG149" s="1544"/>
      <c r="AH149" s="1544"/>
      <c r="AI149" s="1546"/>
      <c r="AJ149" s="1546"/>
    </row>
    <row r="150" spans="1:36" ht="25.5">
      <c r="B150" s="1624" t="s">
        <v>1007</v>
      </c>
      <c r="C150" s="1625">
        <v>203000000</v>
      </c>
      <c r="D150" s="1495" t="s">
        <v>1004</v>
      </c>
    </row>
    <row r="151" spans="1:36" ht="25.5">
      <c r="B151" s="1624" t="s">
        <v>1012</v>
      </c>
      <c r="C151" s="1628">
        <v>21500000000</v>
      </c>
      <c r="D151" s="1495" t="s">
        <v>1004</v>
      </c>
    </row>
    <row r="152" spans="1:36" ht="25.5">
      <c r="B152" s="1624" t="s">
        <v>1013</v>
      </c>
      <c r="C152" s="1495">
        <f>C136+C137+C141-C145-C146-C147-C144</f>
        <v>1684475923</v>
      </c>
      <c r="D152" s="1495" t="s">
        <v>1004</v>
      </c>
    </row>
  </sheetData>
  <mergeCells count="1">
    <mergeCell ref="A2:E2"/>
  </mergeCells>
  <pageMargins left="0.51181102362204722" right="0.11811023622047245" top="0.55118110236220474" bottom="0.55118110236220474" header="0.31496062992125984" footer="0.31496062992125984"/>
  <pageSetup paperSize="9" scale="70" orientation="landscape" r:id="rId1"/>
  <headerFooter>
    <oddFooter>Page &amp;P</oddFooter>
  </headerFooter>
  <ignoredErrors>
    <ignoredError sqref="E51 E58:E97 E126:E129 E99:E124"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B345"/>
  <sheetViews>
    <sheetView topLeftCell="B1" zoomScale="124" zoomScaleNormal="124" workbookViewId="0">
      <selection activeCell="H10" sqref="H10"/>
    </sheetView>
  </sheetViews>
  <sheetFormatPr defaultColWidth="9" defaultRowHeight="12" outlineLevelCol="1"/>
  <cols>
    <col min="1" max="1" width="0" style="1057" hidden="1" customWidth="1"/>
    <col min="2" max="2" width="4.5703125" style="1453" bestFit="1" customWidth="1"/>
    <col min="3" max="4" width="6.5703125" style="1453" customWidth="1"/>
    <col min="5" max="5" width="19" style="1452" customWidth="1"/>
    <col min="6" max="6" width="10.85546875" style="1454" customWidth="1"/>
    <col min="7" max="7" width="11.7109375" style="1454" bestFit="1" customWidth="1"/>
    <col min="8" max="8" width="10.7109375" style="1454" customWidth="1" outlineLevel="1"/>
    <col min="9" max="9" width="10.42578125" style="1060" customWidth="1" outlineLevel="1"/>
    <col min="10" max="10" width="11.5703125" style="1060" customWidth="1" outlineLevel="1"/>
    <col min="11" max="11" width="10.42578125" style="1060" customWidth="1" outlineLevel="1"/>
    <col min="12" max="12" width="10.85546875" style="1060" customWidth="1" outlineLevel="1"/>
    <col min="13" max="13" width="12.28515625" style="1454" bestFit="1" customWidth="1"/>
    <col min="14" max="14" width="12.140625" style="1454" bestFit="1" customWidth="1" outlineLevel="1"/>
    <col min="15" max="16" width="10.85546875" style="1454" bestFit="1" customWidth="1" outlineLevel="1"/>
    <col min="17" max="18" width="11.7109375" style="1454" bestFit="1" customWidth="1" outlineLevel="1"/>
    <col min="19" max="19" width="8" style="1454" customWidth="1" outlineLevel="1"/>
    <col min="20" max="20" width="11.7109375" style="1454" bestFit="1" customWidth="1" outlineLevel="1"/>
    <col min="21" max="22" width="10.85546875" style="1454" bestFit="1" customWidth="1" outlineLevel="1"/>
    <col min="23" max="23" width="11.7109375" style="1454" bestFit="1" customWidth="1" outlineLevel="1"/>
    <col min="24" max="24" width="10.42578125" style="1454" customWidth="1" outlineLevel="1"/>
    <col min="25" max="25" width="11.7109375" style="1454" bestFit="1" customWidth="1" outlineLevel="1"/>
    <col min="26" max="180" width="9.85546875" style="1057" customWidth="1"/>
    <col min="181" max="222" width="9" style="1057"/>
    <col min="223" max="223" width="5" style="1057" customWidth="1"/>
    <col min="224" max="224" width="34.42578125" style="1057" customWidth="1"/>
    <col min="225" max="225" width="10.7109375" style="1057" customWidth="1"/>
    <col min="226" max="226" width="9.28515625" style="1057" customWidth="1"/>
    <col min="227" max="227" width="10.42578125" style="1057" customWidth="1"/>
    <col min="228" max="233" width="9.28515625" style="1057" customWidth="1"/>
    <col min="234" max="234" width="8.28515625" style="1057" customWidth="1"/>
    <col min="235" max="242" width="9.28515625" style="1057" customWidth="1"/>
    <col min="243" max="436" width="9.85546875" style="1057" customWidth="1"/>
    <col min="437" max="478" width="9" style="1057"/>
    <col min="479" max="479" width="5" style="1057" customWidth="1"/>
    <col min="480" max="480" width="34.42578125" style="1057" customWidth="1"/>
    <col min="481" max="481" width="10.7109375" style="1057" customWidth="1"/>
    <col min="482" max="482" width="9.28515625" style="1057" customWidth="1"/>
    <col min="483" max="483" width="10.42578125" style="1057" customWidth="1"/>
    <col min="484" max="489" width="9.28515625" style="1057" customWidth="1"/>
    <col min="490" max="490" width="8.28515625" style="1057" customWidth="1"/>
    <col min="491" max="498" width="9.28515625" style="1057" customWidth="1"/>
    <col min="499" max="692" width="9.85546875" style="1057" customWidth="1"/>
    <col min="693" max="734" width="9" style="1057"/>
    <col min="735" max="735" width="5" style="1057" customWidth="1"/>
    <col min="736" max="736" width="34.42578125" style="1057" customWidth="1"/>
    <col min="737" max="737" width="10.7109375" style="1057" customWidth="1"/>
    <col min="738" max="738" width="9.28515625" style="1057" customWidth="1"/>
    <col min="739" max="739" width="10.42578125" style="1057" customWidth="1"/>
    <col min="740" max="745" width="9.28515625" style="1057" customWidth="1"/>
    <col min="746" max="746" width="8.28515625" style="1057" customWidth="1"/>
    <col min="747" max="754" width="9.28515625" style="1057" customWidth="1"/>
    <col min="755" max="948" width="9.85546875" style="1057" customWidth="1"/>
    <col min="949" max="990" width="9" style="1057"/>
    <col min="991" max="991" width="5" style="1057" customWidth="1"/>
    <col min="992" max="992" width="34.42578125" style="1057" customWidth="1"/>
    <col min="993" max="993" width="10.7109375" style="1057" customWidth="1"/>
    <col min="994" max="994" width="9.28515625" style="1057" customWidth="1"/>
    <col min="995" max="995" width="10.42578125" style="1057" customWidth="1"/>
    <col min="996" max="1001" width="9.28515625" style="1057" customWidth="1"/>
    <col min="1002" max="1002" width="8.28515625" style="1057" customWidth="1"/>
    <col min="1003" max="1010" width="9.28515625" style="1057" customWidth="1"/>
    <col min="1011" max="1204" width="9.85546875" style="1057" customWidth="1"/>
    <col min="1205" max="1246" width="9" style="1057"/>
    <col min="1247" max="1247" width="5" style="1057" customWidth="1"/>
    <col min="1248" max="1248" width="34.42578125" style="1057" customWidth="1"/>
    <col min="1249" max="1249" width="10.7109375" style="1057" customWidth="1"/>
    <col min="1250" max="1250" width="9.28515625" style="1057" customWidth="1"/>
    <col min="1251" max="1251" width="10.42578125" style="1057" customWidth="1"/>
    <col min="1252" max="1257" width="9.28515625" style="1057" customWidth="1"/>
    <col min="1258" max="1258" width="8.28515625" style="1057" customWidth="1"/>
    <col min="1259" max="1266" width="9.28515625" style="1057" customWidth="1"/>
    <col min="1267" max="1460" width="9.85546875" style="1057" customWidth="1"/>
    <col min="1461" max="1502" width="9" style="1057"/>
    <col min="1503" max="1503" width="5" style="1057" customWidth="1"/>
    <col min="1504" max="1504" width="34.42578125" style="1057" customWidth="1"/>
    <col min="1505" max="1505" width="10.7109375" style="1057" customWidth="1"/>
    <col min="1506" max="1506" width="9.28515625" style="1057" customWidth="1"/>
    <col min="1507" max="1507" width="10.42578125" style="1057" customWidth="1"/>
    <col min="1508" max="1513" width="9.28515625" style="1057" customWidth="1"/>
    <col min="1514" max="1514" width="8.28515625" style="1057" customWidth="1"/>
    <col min="1515" max="1522" width="9.28515625" style="1057" customWidth="1"/>
    <col min="1523" max="1716" width="9.85546875" style="1057" customWidth="1"/>
    <col min="1717" max="1758" width="9" style="1057"/>
    <col min="1759" max="1759" width="5" style="1057" customWidth="1"/>
    <col min="1760" max="1760" width="34.42578125" style="1057" customWidth="1"/>
    <col min="1761" max="1761" width="10.7109375" style="1057" customWidth="1"/>
    <col min="1762" max="1762" width="9.28515625" style="1057" customWidth="1"/>
    <col min="1763" max="1763" width="10.42578125" style="1057" customWidth="1"/>
    <col min="1764" max="1769" width="9.28515625" style="1057" customWidth="1"/>
    <col min="1770" max="1770" width="8.28515625" style="1057" customWidth="1"/>
    <col min="1771" max="1778" width="9.28515625" style="1057" customWidth="1"/>
    <col min="1779" max="1972" width="9.85546875" style="1057" customWidth="1"/>
    <col min="1973" max="2014" width="9" style="1057"/>
    <col min="2015" max="2015" width="5" style="1057" customWidth="1"/>
    <col min="2016" max="2016" width="34.42578125" style="1057" customWidth="1"/>
    <col min="2017" max="2017" width="10.7109375" style="1057" customWidth="1"/>
    <col min="2018" max="2018" width="9.28515625" style="1057" customWidth="1"/>
    <col min="2019" max="2019" width="10.42578125" style="1057" customWidth="1"/>
    <col min="2020" max="2025" width="9.28515625" style="1057" customWidth="1"/>
    <col min="2026" max="2026" width="8.28515625" style="1057" customWidth="1"/>
    <col min="2027" max="2034" width="9.28515625" style="1057" customWidth="1"/>
    <col min="2035" max="2228" width="9.85546875" style="1057" customWidth="1"/>
    <col min="2229" max="2270" width="9" style="1057"/>
    <col min="2271" max="2271" width="5" style="1057" customWidth="1"/>
    <col min="2272" max="2272" width="34.42578125" style="1057" customWidth="1"/>
    <col min="2273" max="2273" width="10.7109375" style="1057" customWidth="1"/>
    <col min="2274" max="2274" width="9.28515625" style="1057" customWidth="1"/>
    <col min="2275" max="2275" width="10.42578125" style="1057" customWidth="1"/>
    <col min="2276" max="2281" width="9.28515625" style="1057" customWidth="1"/>
    <col min="2282" max="2282" width="8.28515625" style="1057" customWidth="1"/>
    <col min="2283" max="2290" width="9.28515625" style="1057" customWidth="1"/>
    <col min="2291" max="2484" width="9.85546875" style="1057" customWidth="1"/>
    <col min="2485" max="2526" width="9" style="1057"/>
    <col min="2527" max="2527" width="5" style="1057" customWidth="1"/>
    <col min="2528" max="2528" width="34.42578125" style="1057" customWidth="1"/>
    <col min="2529" max="2529" width="10.7109375" style="1057" customWidth="1"/>
    <col min="2530" max="2530" width="9.28515625" style="1057" customWidth="1"/>
    <col min="2531" max="2531" width="10.42578125" style="1057" customWidth="1"/>
    <col min="2532" max="2537" width="9.28515625" style="1057" customWidth="1"/>
    <col min="2538" max="2538" width="8.28515625" style="1057" customWidth="1"/>
    <col min="2539" max="2546" width="9.28515625" style="1057" customWidth="1"/>
    <col min="2547" max="2740" width="9.85546875" style="1057" customWidth="1"/>
    <col min="2741" max="2782" width="9" style="1057"/>
    <col min="2783" max="2783" width="5" style="1057" customWidth="1"/>
    <col min="2784" max="2784" width="34.42578125" style="1057" customWidth="1"/>
    <col min="2785" max="2785" width="10.7109375" style="1057" customWidth="1"/>
    <col min="2786" max="2786" width="9.28515625" style="1057" customWidth="1"/>
    <col min="2787" max="2787" width="10.42578125" style="1057" customWidth="1"/>
    <col min="2788" max="2793" width="9.28515625" style="1057" customWidth="1"/>
    <col min="2794" max="2794" width="8.28515625" style="1057" customWidth="1"/>
    <col min="2795" max="2802" width="9.28515625" style="1057" customWidth="1"/>
    <col min="2803" max="2996" width="9.85546875" style="1057" customWidth="1"/>
    <col min="2997" max="3038" width="9" style="1057"/>
    <col min="3039" max="3039" width="5" style="1057" customWidth="1"/>
    <col min="3040" max="3040" width="34.42578125" style="1057" customWidth="1"/>
    <col min="3041" max="3041" width="10.7109375" style="1057" customWidth="1"/>
    <col min="3042" max="3042" width="9.28515625" style="1057" customWidth="1"/>
    <col min="3043" max="3043" width="10.42578125" style="1057" customWidth="1"/>
    <col min="3044" max="3049" width="9.28515625" style="1057" customWidth="1"/>
    <col min="3050" max="3050" width="8.28515625" style="1057" customWidth="1"/>
    <col min="3051" max="3058" width="9.28515625" style="1057" customWidth="1"/>
    <col min="3059" max="3252" width="9.85546875" style="1057" customWidth="1"/>
    <col min="3253" max="3294" width="9" style="1057"/>
    <col min="3295" max="3295" width="5" style="1057" customWidth="1"/>
    <col min="3296" max="3296" width="34.42578125" style="1057" customWidth="1"/>
    <col min="3297" max="3297" width="10.7109375" style="1057" customWidth="1"/>
    <col min="3298" max="3298" width="9.28515625" style="1057" customWidth="1"/>
    <col min="3299" max="3299" width="10.42578125" style="1057" customWidth="1"/>
    <col min="3300" max="3305" width="9.28515625" style="1057" customWidth="1"/>
    <col min="3306" max="3306" width="8.28515625" style="1057" customWidth="1"/>
    <col min="3307" max="3314" width="9.28515625" style="1057" customWidth="1"/>
    <col min="3315" max="3508" width="9.85546875" style="1057" customWidth="1"/>
    <col min="3509" max="3550" width="9" style="1057"/>
    <col min="3551" max="3551" width="5" style="1057" customWidth="1"/>
    <col min="3552" max="3552" width="34.42578125" style="1057" customWidth="1"/>
    <col min="3553" max="3553" width="10.7109375" style="1057" customWidth="1"/>
    <col min="3554" max="3554" width="9.28515625" style="1057" customWidth="1"/>
    <col min="3555" max="3555" width="10.42578125" style="1057" customWidth="1"/>
    <col min="3556" max="3561" width="9.28515625" style="1057" customWidth="1"/>
    <col min="3562" max="3562" width="8.28515625" style="1057" customWidth="1"/>
    <col min="3563" max="3570" width="9.28515625" style="1057" customWidth="1"/>
    <col min="3571" max="3764" width="9.85546875" style="1057" customWidth="1"/>
    <col min="3765" max="3806" width="9" style="1057"/>
    <col min="3807" max="3807" width="5" style="1057" customWidth="1"/>
    <col min="3808" max="3808" width="34.42578125" style="1057" customWidth="1"/>
    <col min="3809" max="3809" width="10.7109375" style="1057" customWidth="1"/>
    <col min="3810" max="3810" width="9.28515625" style="1057" customWidth="1"/>
    <col min="3811" max="3811" width="10.42578125" style="1057" customWidth="1"/>
    <col min="3812" max="3817" width="9.28515625" style="1057" customWidth="1"/>
    <col min="3818" max="3818" width="8.28515625" style="1057" customWidth="1"/>
    <col min="3819" max="3826" width="9.28515625" style="1057" customWidth="1"/>
    <col min="3827" max="4020" width="9.85546875" style="1057" customWidth="1"/>
    <col min="4021" max="4062" width="9" style="1057"/>
    <col min="4063" max="4063" width="5" style="1057" customWidth="1"/>
    <col min="4064" max="4064" width="34.42578125" style="1057" customWidth="1"/>
    <col min="4065" max="4065" width="10.7109375" style="1057" customWidth="1"/>
    <col min="4066" max="4066" width="9.28515625" style="1057" customWidth="1"/>
    <col min="4067" max="4067" width="10.42578125" style="1057" customWidth="1"/>
    <col min="4068" max="4073" width="9.28515625" style="1057" customWidth="1"/>
    <col min="4074" max="4074" width="8.28515625" style="1057" customWidth="1"/>
    <col min="4075" max="4082" width="9.28515625" style="1057" customWidth="1"/>
    <col min="4083" max="4276" width="9.85546875" style="1057" customWidth="1"/>
    <col min="4277" max="4318" width="9" style="1057"/>
    <col min="4319" max="4319" width="5" style="1057" customWidth="1"/>
    <col min="4320" max="4320" width="34.42578125" style="1057" customWidth="1"/>
    <col min="4321" max="4321" width="10.7109375" style="1057" customWidth="1"/>
    <col min="4322" max="4322" width="9.28515625" style="1057" customWidth="1"/>
    <col min="4323" max="4323" width="10.42578125" style="1057" customWidth="1"/>
    <col min="4324" max="4329" width="9.28515625" style="1057" customWidth="1"/>
    <col min="4330" max="4330" width="8.28515625" style="1057" customWidth="1"/>
    <col min="4331" max="4338" width="9.28515625" style="1057" customWidth="1"/>
    <col min="4339" max="4532" width="9.85546875" style="1057" customWidth="1"/>
    <col min="4533" max="4574" width="9" style="1057"/>
    <col min="4575" max="4575" width="5" style="1057" customWidth="1"/>
    <col min="4576" max="4576" width="34.42578125" style="1057" customWidth="1"/>
    <col min="4577" max="4577" width="10.7109375" style="1057" customWidth="1"/>
    <col min="4578" max="4578" width="9.28515625" style="1057" customWidth="1"/>
    <col min="4579" max="4579" width="10.42578125" style="1057" customWidth="1"/>
    <col min="4580" max="4585" width="9.28515625" style="1057" customWidth="1"/>
    <col min="4586" max="4586" width="8.28515625" style="1057" customWidth="1"/>
    <col min="4587" max="4594" width="9.28515625" style="1057" customWidth="1"/>
    <col min="4595" max="4788" width="9.85546875" style="1057" customWidth="1"/>
    <col min="4789" max="4830" width="9" style="1057"/>
    <col min="4831" max="4831" width="5" style="1057" customWidth="1"/>
    <col min="4832" max="4832" width="34.42578125" style="1057" customWidth="1"/>
    <col min="4833" max="4833" width="10.7109375" style="1057" customWidth="1"/>
    <col min="4834" max="4834" width="9.28515625" style="1057" customWidth="1"/>
    <col min="4835" max="4835" width="10.42578125" style="1057" customWidth="1"/>
    <col min="4836" max="4841" width="9.28515625" style="1057" customWidth="1"/>
    <col min="4842" max="4842" width="8.28515625" style="1057" customWidth="1"/>
    <col min="4843" max="4850" width="9.28515625" style="1057" customWidth="1"/>
    <col min="4851" max="5044" width="9.85546875" style="1057" customWidth="1"/>
    <col min="5045" max="5086" width="9" style="1057"/>
    <col min="5087" max="5087" width="5" style="1057" customWidth="1"/>
    <col min="5088" max="5088" width="34.42578125" style="1057" customWidth="1"/>
    <col min="5089" max="5089" width="10.7109375" style="1057" customWidth="1"/>
    <col min="5090" max="5090" width="9.28515625" style="1057" customWidth="1"/>
    <col min="5091" max="5091" width="10.42578125" style="1057" customWidth="1"/>
    <col min="5092" max="5097" width="9.28515625" style="1057" customWidth="1"/>
    <col min="5098" max="5098" width="8.28515625" style="1057" customWidth="1"/>
    <col min="5099" max="5106" width="9.28515625" style="1057" customWidth="1"/>
    <col min="5107" max="5300" width="9.85546875" style="1057" customWidth="1"/>
    <col min="5301" max="5342" width="9" style="1057"/>
    <col min="5343" max="5343" width="5" style="1057" customWidth="1"/>
    <col min="5344" max="5344" width="34.42578125" style="1057" customWidth="1"/>
    <col min="5345" max="5345" width="10.7109375" style="1057" customWidth="1"/>
    <col min="5346" max="5346" width="9.28515625" style="1057" customWidth="1"/>
    <col min="5347" max="5347" width="10.42578125" style="1057" customWidth="1"/>
    <col min="5348" max="5353" width="9.28515625" style="1057" customWidth="1"/>
    <col min="5354" max="5354" width="8.28515625" style="1057" customWidth="1"/>
    <col min="5355" max="5362" width="9.28515625" style="1057" customWidth="1"/>
    <col min="5363" max="5556" width="9.85546875" style="1057" customWidth="1"/>
    <col min="5557" max="5598" width="9" style="1057"/>
    <col min="5599" max="5599" width="5" style="1057" customWidth="1"/>
    <col min="5600" max="5600" width="34.42578125" style="1057" customWidth="1"/>
    <col min="5601" max="5601" width="10.7109375" style="1057" customWidth="1"/>
    <col min="5602" max="5602" width="9.28515625" style="1057" customWidth="1"/>
    <col min="5603" max="5603" width="10.42578125" style="1057" customWidth="1"/>
    <col min="5604" max="5609" width="9.28515625" style="1057" customWidth="1"/>
    <col min="5610" max="5610" width="8.28515625" style="1057" customWidth="1"/>
    <col min="5611" max="5618" width="9.28515625" style="1057" customWidth="1"/>
    <col min="5619" max="5812" width="9.85546875" style="1057" customWidth="1"/>
    <col min="5813" max="5854" width="9" style="1057"/>
    <col min="5855" max="5855" width="5" style="1057" customWidth="1"/>
    <col min="5856" max="5856" width="34.42578125" style="1057" customWidth="1"/>
    <col min="5857" max="5857" width="10.7109375" style="1057" customWidth="1"/>
    <col min="5858" max="5858" width="9.28515625" style="1057" customWidth="1"/>
    <col min="5859" max="5859" width="10.42578125" style="1057" customWidth="1"/>
    <col min="5860" max="5865" width="9.28515625" style="1057" customWidth="1"/>
    <col min="5866" max="5866" width="8.28515625" style="1057" customWidth="1"/>
    <col min="5867" max="5874" width="9.28515625" style="1057" customWidth="1"/>
    <col min="5875" max="6068" width="9.85546875" style="1057" customWidth="1"/>
    <col min="6069" max="6110" width="9" style="1057"/>
    <col min="6111" max="6111" width="5" style="1057" customWidth="1"/>
    <col min="6112" max="6112" width="34.42578125" style="1057" customWidth="1"/>
    <col min="6113" max="6113" width="10.7109375" style="1057" customWidth="1"/>
    <col min="6114" max="6114" width="9.28515625" style="1057" customWidth="1"/>
    <col min="6115" max="6115" width="10.42578125" style="1057" customWidth="1"/>
    <col min="6116" max="6121" width="9.28515625" style="1057" customWidth="1"/>
    <col min="6122" max="6122" width="8.28515625" style="1057" customWidth="1"/>
    <col min="6123" max="6130" width="9.28515625" style="1057" customWidth="1"/>
    <col min="6131" max="6324" width="9.85546875" style="1057" customWidth="1"/>
    <col min="6325" max="6366" width="9" style="1057"/>
    <col min="6367" max="6367" width="5" style="1057" customWidth="1"/>
    <col min="6368" max="6368" width="34.42578125" style="1057" customWidth="1"/>
    <col min="6369" max="6369" width="10.7109375" style="1057" customWidth="1"/>
    <col min="6370" max="6370" width="9.28515625" style="1057" customWidth="1"/>
    <col min="6371" max="6371" width="10.42578125" style="1057" customWidth="1"/>
    <col min="6372" max="6377" width="9.28515625" style="1057" customWidth="1"/>
    <col min="6378" max="6378" width="8.28515625" style="1057" customWidth="1"/>
    <col min="6379" max="6386" width="9.28515625" style="1057" customWidth="1"/>
    <col min="6387" max="6580" width="9.85546875" style="1057" customWidth="1"/>
    <col min="6581" max="6622" width="9" style="1057"/>
    <col min="6623" max="6623" width="5" style="1057" customWidth="1"/>
    <col min="6624" max="6624" width="34.42578125" style="1057" customWidth="1"/>
    <col min="6625" max="6625" width="10.7109375" style="1057" customWidth="1"/>
    <col min="6626" max="6626" width="9.28515625" style="1057" customWidth="1"/>
    <col min="6627" max="6627" width="10.42578125" style="1057" customWidth="1"/>
    <col min="6628" max="6633" width="9.28515625" style="1057" customWidth="1"/>
    <col min="6634" max="6634" width="8.28515625" style="1057" customWidth="1"/>
    <col min="6635" max="6642" width="9.28515625" style="1057" customWidth="1"/>
    <col min="6643" max="6836" width="9.85546875" style="1057" customWidth="1"/>
    <col min="6837" max="6878" width="9" style="1057"/>
    <col min="6879" max="6879" width="5" style="1057" customWidth="1"/>
    <col min="6880" max="6880" width="34.42578125" style="1057" customWidth="1"/>
    <col min="6881" max="6881" width="10.7109375" style="1057" customWidth="1"/>
    <col min="6882" max="6882" width="9.28515625" style="1057" customWidth="1"/>
    <col min="6883" max="6883" width="10.42578125" style="1057" customWidth="1"/>
    <col min="6884" max="6889" width="9.28515625" style="1057" customWidth="1"/>
    <col min="6890" max="6890" width="8.28515625" style="1057" customWidth="1"/>
    <col min="6891" max="6898" width="9.28515625" style="1057" customWidth="1"/>
    <col min="6899" max="7092" width="9.85546875" style="1057" customWidth="1"/>
    <col min="7093" max="7134" width="9" style="1057"/>
    <col min="7135" max="7135" width="5" style="1057" customWidth="1"/>
    <col min="7136" max="7136" width="34.42578125" style="1057" customWidth="1"/>
    <col min="7137" max="7137" width="10.7109375" style="1057" customWidth="1"/>
    <col min="7138" max="7138" width="9.28515625" style="1057" customWidth="1"/>
    <col min="7139" max="7139" width="10.42578125" style="1057" customWidth="1"/>
    <col min="7140" max="7145" width="9.28515625" style="1057" customWidth="1"/>
    <col min="7146" max="7146" width="8.28515625" style="1057" customWidth="1"/>
    <col min="7147" max="7154" width="9.28515625" style="1057" customWidth="1"/>
    <col min="7155" max="7348" width="9.85546875" style="1057" customWidth="1"/>
    <col min="7349" max="7390" width="9" style="1057"/>
    <col min="7391" max="7391" width="5" style="1057" customWidth="1"/>
    <col min="7392" max="7392" width="34.42578125" style="1057" customWidth="1"/>
    <col min="7393" max="7393" width="10.7109375" style="1057" customWidth="1"/>
    <col min="7394" max="7394" width="9.28515625" style="1057" customWidth="1"/>
    <col min="7395" max="7395" width="10.42578125" style="1057" customWidth="1"/>
    <col min="7396" max="7401" width="9.28515625" style="1057" customWidth="1"/>
    <col min="7402" max="7402" width="8.28515625" style="1057" customWidth="1"/>
    <col min="7403" max="7410" width="9.28515625" style="1057" customWidth="1"/>
    <col min="7411" max="7604" width="9.85546875" style="1057" customWidth="1"/>
    <col min="7605" max="7646" width="9" style="1057"/>
    <col min="7647" max="7647" width="5" style="1057" customWidth="1"/>
    <col min="7648" max="7648" width="34.42578125" style="1057" customWidth="1"/>
    <col min="7649" max="7649" width="10.7109375" style="1057" customWidth="1"/>
    <col min="7650" max="7650" width="9.28515625" style="1057" customWidth="1"/>
    <col min="7651" max="7651" width="10.42578125" style="1057" customWidth="1"/>
    <col min="7652" max="7657" width="9.28515625" style="1057" customWidth="1"/>
    <col min="7658" max="7658" width="8.28515625" style="1057" customWidth="1"/>
    <col min="7659" max="7666" width="9.28515625" style="1057" customWidth="1"/>
    <col min="7667" max="7860" width="9.85546875" style="1057" customWidth="1"/>
    <col min="7861" max="7902" width="9" style="1057"/>
    <col min="7903" max="7903" width="5" style="1057" customWidth="1"/>
    <col min="7904" max="7904" width="34.42578125" style="1057" customWidth="1"/>
    <col min="7905" max="7905" width="10.7109375" style="1057" customWidth="1"/>
    <col min="7906" max="7906" width="9.28515625" style="1057" customWidth="1"/>
    <col min="7907" max="7907" width="10.42578125" style="1057" customWidth="1"/>
    <col min="7908" max="7913" width="9.28515625" style="1057" customWidth="1"/>
    <col min="7914" max="7914" width="8.28515625" style="1057" customWidth="1"/>
    <col min="7915" max="7922" width="9.28515625" style="1057" customWidth="1"/>
    <col min="7923" max="8116" width="9.85546875" style="1057" customWidth="1"/>
    <col min="8117" max="8158" width="9" style="1057"/>
    <col min="8159" max="8159" width="5" style="1057" customWidth="1"/>
    <col min="8160" max="8160" width="34.42578125" style="1057" customWidth="1"/>
    <col min="8161" max="8161" width="10.7109375" style="1057" customWidth="1"/>
    <col min="8162" max="8162" width="9.28515625" style="1057" customWidth="1"/>
    <col min="8163" max="8163" width="10.42578125" style="1057" customWidth="1"/>
    <col min="8164" max="8169" width="9.28515625" style="1057" customWidth="1"/>
    <col min="8170" max="8170" width="8.28515625" style="1057" customWidth="1"/>
    <col min="8171" max="8178" width="9.28515625" style="1057" customWidth="1"/>
    <col min="8179" max="8372" width="9.85546875" style="1057" customWidth="1"/>
    <col min="8373" max="8414" width="9" style="1057"/>
    <col min="8415" max="8415" width="5" style="1057" customWidth="1"/>
    <col min="8416" max="8416" width="34.42578125" style="1057" customWidth="1"/>
    <col min="8417" max="8417" width="10.7109375" style="1057" customWidth="1"/>
    <col min="8418" max="8418" width="9.28515625" style="1057" customWidth="1"/>
    <col min="8419" max="8419" width="10.42578125" style="1057" customWidth="1"/>
    <col min="8420" max="8425" width="9.28515625" style="1057" customWidth="1"/>
    <col min="8426" max="8426" width="8.28515625" style="1057" customWidth="1"/>
    <col min="8427" max="8434" width="9.28515625" style="1057" customWidth="1"/>
    <col min="8435" max="8628" width="9.85546875" style="1057" customWidth="1"/>
    <col min="8629" max="8670" width="9" style="1057"/>
    <col min="8671" max="8671" width="5" style="1057" customWidth="1"/>
    <col min="8672" max="8672" width="34.42578125" style="1057" customWidth="1"/>
    <col min="8673" max="8673" width="10.7109375" style="1057" customWidth="1"/>
    <col min="8674" max="8674" width="9.28515625" style="1057" customWidth="1"/>
    <col min="8675" max="8675" width="10.42578125" style="1057" customWidth="1"/>
    <col min="8676" max="8681" width="9.28515625" style="1057" customWidth="1"/>
    <col min="8682" max="8682" width="8.28515625" style="1057" customWidth="1"/>
    <col min="8683" max="8690" width="9.28515625" style="1057" customWidth="1"/>
    <col min="8691" max="8884" width="9.85546875" style="1057" customWidth="1"/>
    <col min="8885" max="8926" width="9" style="1057"/>
    <col min="8927" max="8927" width="5" style="1057" customWidth="1"/>
    <col min="8928" max="8928" width="34.42578125" style="1057" customWidth="1"/>
    <col min="8929" max="8929" width="10.7109375" style="1057" customWidth="1"/>
    <col min="8930" max="8930" width="9.28515625" style="1057" customWidth="1"/>
    <col min="8931" max="8931" width="10.42578125" style="1057" customWidth="1"/>
    <col min="8932" max="8937" width="9.28515625" style="1057" customWidth="1"/>
    <col min="8938" max="8938" width="8.28515625" style="1057" customWidth="1"/>
    <col min="8939" max="8946" width="9.28515625" style="1057" customWidth="1"/>
    <col min="8947" max="9140" width="9.85546875" style="1057" customWidth="1"/>
    <col min="9141" max="9182" width="9" style="1057"/>
    <col min="9183" max="9183" width="5" style="1057" customWidth="1"/>
    <col min="9184" max="9184" width="34.42578125" style="1057" customWidth="1"/>
    <col min="9185" max="9185" width="10.7109375" style="1057" customWidth="1"/>
    <col min="9186" max="9186" width="9.28515625" style="1057" customWidth="1"/>
    <col min="9187" max="9187" width="10.42578125" style="1057" customWidth="1"/>
    <col min="9188" max="9193" width="9.28515625" style="1057" customWidth="1"/>
    <col min="9194" max="9194" width="8.28515625" style="1057" customWidth="1"/>
    <col min="9195" max="9202" width="9.28515625" style="1057" customWidth="1"/>
    <col min="9203" max="9396" width="9.85546875" style="1057" customWidth="1"/>
    <col min="9397" max="9438" width="9" style="1057"/>
    <col min="9439" max="9439" width="5" style="1057" customWidth="1"/>
    <col min="9440" max="9440" width="34.42578125" style="1057" customWidth="1"/>
    <col min="9441" max="9441" width="10.7109375" style="1057" customWidth="1"/>
    <col min="9442" max="9442" width="9.28515625" style="1057" customWidth="1"/>
    <col min="9443" max="9443" width="10.42578125" style="1057" customWidth="1"/>
    <col min="9444" max="9449" width="9.28515625" style="1057" customWidth="1"/>
    <col min="9450" max="9450" width="8.28515625" style="1057" customWidth="1"/>
    <col min="9451" max="9458" width="9.28515625" style="1057" customWidth="1"/>
    <col min="9459" max="9652" width="9.85546875" style="1057" customWidth="1"/>
    <col min="9653" max="9694" width="9" style="1057"/>
    <col min="9695" max="9695" width="5" style="1057" customWidth="1"/>
    <col min="9696" max="9696" width="34.42578125" style="1057" customWidth="1"/>
    <col min="9697" max="9697" width="10.7109375" style="1057" customWidth="1"/>
    <col min="9698" max="9698" width="9.28515625" style="1057" customWidth="1"/>
    <col min="9699" max="9699" width="10.42578125" style="1057" customWidth="1"/>
    <col min="9700" max="9705" width="9.28515625" style="1057" customWidth="1"/>
    <col min="9706" max="9706" width="8.28515625" style="1057" customWidth="1"/>
    <col min="9707" max="9714" width="9.28515625" style="1057" customWidth="1"/>
    <col min="9715" max="9908" width="9.85546875" style="1057" customWidth="1"/>
    <col min="9909" max="9950" width="9" style="1057"/>
    <col min="9951" max="9951" width="5" style="1057" customWidth="1"/>
    <col min="9952" max="9952" width="34.42578125" style="1057" customWidth="1"/>
    <col min="9953" max="9953" width="10.7109375" style="1057" customWidth="1"/>
    <col min="9954" max="9954" width="9.28515625" style="1057" customWidth="1"/>
    <col min="9955" max="9955" width="10.42578125" style="1057" customWidth="1"/>
    <col min="9956" max="9961" width="9.28515625" style="1057" customWidth="1"/>
    <col min="9962" max="9962" width="8.28515625" style="1057" customWidth="1"/>
    <col min="9963" max="9970" width="9.28515625" style="1057" customWidth="1"/>
    <col min="9971" max="10164" width="9.85546875" style="1057" customWidth="1"/>
    <col min="10165" max="10206" width="9" style="1057"/>
    <col min="10207" max="10207" width="5" style="1057" customWidth="1"/>
    <col min="10208" max="10208" width="34.42578125" style="1057" customWidth="1"/>
    <col min="10209" max="10209" width="10.7109375" style="1057" customWidth="1"/>
    <col min="10210" max="10210" width="9.28515625" style="1057" customWidth="1"/>
    <col min="10211" max="10211" width="10.42578125" style="1057" customWidth="1"/>
    <col min="10212" max="10217" width="9.28515625" style="1057" customWidth="1"/>
    <col min="10218" max="10218" width="8.28515625" style="1057" customWidth="1"/>
    <col min="10219" max="10226" width="9.28515625" style="1057" customWidth="1"/>
    <col min="10227" max="10420" width="9.85546875" style="1057" customWidth="1"/>
    <col min="10421" max="10462" width="9" style="1057"/>
    <col min="10463" max="10463" width="5" style="1057" customWidth="1"/>
    <col min="10464" max="10464" width="34.42578125" style="1057" customWidth="1"/>
    <col min="10465" max="10465" width="10.7109375" style="1057" customWidth="1"/>
    <col min="10466" max="10466" width="9.28515625" style="1057" customWidth="1"/>
    <col min="10467" max="10467" width="10.42578125" style="1057" customWidth="1"/>
    <col min="10468" max="10473" width="9.28515625" style="1057" customWidth="1"/>
    <col min="10474" max="10474" width="8.28515625" style="1057" customWidth="1"/>
    <col min="10475" max="10482" width="9.28515625" style="1057" customWidth="1"/>
    <col min="10483" max="10676" width="9.85546875" style="1057" customWidth="1"/>
    <col min="10677" max="10718" width="9" style="1057"/>
    <col min="10719" max="10719" width="5" style="1057" customWidth="1"/>
    <col min="10720" max="10720" width="34.42578125" style="1057" customWidth="1"/>
    <col min="10721" max="10721" width="10.7109375" style="1057" customWidth="1"/>
    <col min="10722" max="10722" width="9.28515625" style="1057" customWidth="1"/>
    <col min="10723" max="10723" width="10.42578125" style="1057" customWidth="1"/>
    <col min="10724" max="10729" width="9.28515625" style="1057" customWidth="1"/>
    <col min="10730" max="10730" width="8.28515625" style="1057" customWidth="1"/>
    <col min="10731" max="10738" width="9.28515625" style="1057" customWidth="1"/>
    <col min="10739" max="10932" width="9.85546875" style="1057" customWidth="1"/>
    <col min="10933" max="10974" width="9" style="1057"/>
    <col min="10975" max="10975" width="5" style="1057" customWidth="1"/>
    <col min="10976" max="10976" width="34.42578125" style="1057" customWidth="1"/>
    <col min="10977" max="10977" width="10.7109375" style="1057" customWidth="1"/>
    <col min="10978" max="10978" width="9.28515625" style="1057" customWidth="1"/>
    <col min="10979" max="10979" width="10.42578125" style="1057" customWidth="1"/>
    <col min="10980" max="10985" width="9.28515625" style="1057" customWidth="1"/>
    <col min="10986" max="10986" width="8.28515625" style="1057" customWidth="1"/>
    <col min="10987" max="10994" width="9.28515625" style="1057" customWidth="1"/>
    <col min="10995" max="11188" width="9.85546875" style="1057" customWidth="1"/>
    <col min="11189" max="11230" width="9" style="1057"/>
    <col min="11231" max="11231" width="5" style="1057" customWidth="1"/>
    <col min="11232" max="11232" width="34.42578125" style="1057" customWidth="1"/>
    <col min="11233" max="11233" width="10.7109375" style="1057" customWidth="1"/>
    <col min="11234" max="11234" width="9.28515625" style="1057" customWidth="1"/>
    <col min="11235" max="11235" width="10.42578125" style="1057" customWidth="1"/>
    <col min="11236" max="11241" width="9.28515625" style="1057" customWidth="1"/>
    <col min="11242" max="11242" width="8.28515625" style="1057" customWidth="1"/>
    <col min="11243" max="11250" width="9.28515625" style="1057" customWidth="1"/>
    <col min="11251" max="11444" width="9.85546875" style="1057" customWidth="1"/>
    <col min="11445" max="11486" width="9" style="1057"/>
    <col min="11487" max="11487" width="5" style="1057" customWidth="1"/>
    <col min="11488" max="11488" width="34.42578125" style="1057" customWidth="1"/>
    <col min="11489" max="11489" width="10.7109375" style="1057" customWidth="1"/>
    <col min="11490" max="11490" width="9.28515625" style="1057" customWidth="1"/>
    <col min="11491" max="11491" width="10.42578125" style="1057" customWidth="1"/>
    <col min="11492" max="11497" width="9.28515625" style="1057" customWidth="1"/>
    <col min="11498" max="11498" width="8.28515625" style="1057" customWidth="1"/>
    <col min="11499" max="11506" width="9.28515625" style="1057" customWidth="1"/>
    <col min="11507" max="11700" width="9.85546875" style="1057" customWidth="1"/>
    <col min="11701" max="11742" width="9" style="1057"/>
    <col min="11743" max="11743" width="5" style="1057" customWidth="1"/>
    <col min="11744" max="11744" width="34.42578125" style="1057" customWidth="1"/>
    <col min="11745" max="11745" width="10.7109375" style="1057" customWidth="1"/>
    <col min="11746" max="11746" width="9.28515625" style="1057" customWidth="1"/>
    <col min="11747" max="11747" width="10.42578125" style="1057" customWidth="1"/>
    <col min="11748" max="11753" width="9.28515625" style="1057" customWidth="1"/>
    <col min="11754" max="11754" width="8.28515625" style="1057" customWidth="1"/>
    <col min="11755" max="11762" width="9.28515625" style="1057" customWidth="1"/>
    <col min="11763" max="11956" width="9.85546875" style="1057" customWidth="1"/>
    <col min="11957" max="11998" width="9" style="1057"/>
    <col min="11999" max="11999" width="5" style="1057" customWidth="1"/>
    <col min="12000" max="12000" width="34.42578125" style="1057" customWidth="1"/>
    <col min="12001" max="12001" width="10.7109375" style="1057" customWidth="1"/>
    <col min="12002" max="12002" width="9.28515625" style="1057" customWidth="1"/>
    <col min="12003" max="12003" width="10.42578125" style="1057" customWidth="1"/>
    <col min="12004" max="12009" width="9.28515625" style="1057" customWidth="1"/>
    <col min="12010" max="12010" width="8.28515625" style="1057" customWidth="1"/>
    <col min="12011" max="12018" width="9.28515625" style="1057" customWidth="1"/>
    <col min="12019" max="12212" width="9.85546875" style="1057" customWidth="1"/>
    <col min="12213" max="12254" width="9" style="1057"/>
    <col min="12255" max="12255" width="5" style="1057" customWidth="1"/>
    <col min="12256" max="12256" width="34.42578125" style="1057" customWidth="1"/>
    <col min="12257" max="12257" width="10.7109375" style="1057" customWidth="1"/>
    <col min="12258" max="12258" width="9.28515625" style="1057" customWidth="1"/>
    <col min="12259" max="12259" width="10.42578125" style="1057" customWidth="1"/>
    <col min="12260" max="12265" width="9.28515625" style="1057" customWidth="1"/>
    <col min="12266" max="12266" width="8.28515625" style="1057" customWidth="1"/>
    <col min="12267" max="12274" width="9.28515625" style="1057" customWidth="1"/>
    <col min="12275" max="12468" width="9.85546875" style="1057" customWidth="1"/>
    <col min="12469" max="12510" width="9" style="1057"/>
    <col min="12511" max="12511" width="5" style="1057" customWidth="1"/>
    <col min="12512" max="12512" width="34.42578125" style="1057" customWidth="1"/>
    <col min="12513" max="12513" width="10.7109375" style="1057" customWidth="1"/>
    <col min="12514" max="12514" width="9.28515625" style="1057" customWidth="1"/>
    <col min="12515" max="12515" width="10.42578125" style="1057" customWidth="1"/>
    <col min="12516" max="12521" width="9.28515625" style="1057" customWidth="1"/>
    <col min="12522" max="12522" width="8.28515625" style="1057" customWidth="1"/>
    <col min="12523" max="12530" width="9.28515625" style="1057" customWidth="1"/>
    <col min="12531" max="12724" width="9.85546875" style="1057" customWidth="1"/>
    <col min="12725" max="12766" width="9" style="1057"/>
    <col min="12767" max="12767" width="5" style="1057" customWidth="1"/>
    <col min="12768" max="12768" width="34.42578125" style="1057" customWidth="1"/>
    <col min="12769" max="12769" width="10.7109375" style="1057" customWidth="1"/>
    <col min="12770" max="12770" width="9.28515625" style="1057" customWidth="1"/>
    <col min="12771" max="12771" width="10.42578125" style="1057" customWidth="1"/>
    <col min="12772" max="12777" width="9.28515625" style="1057" customWidth="1"/>
    <col min="12778" max="12778" width="8.28515625" style="1057" customWidth="1"/>
    <col min="12779" max="12786" width="9.28515625" style="1057" customWidth="1"/>
    <col min="12787" max="12980" width="9.85546875" style="1057" customWidth="1"/>
    <col min="12981" max="13022" width="9" style="1057"/>
    <col min="13023" max="13023" width="5" style="1057" customWidth="1"/>
    <col min="13024" max="13024" width="34.42578125" style="1057" customWidth="1"/>
    <col min="13025" max="13025" width="10.7109375" style="1057" customWidth="1"/>
    <col min="13026" max="13026" width="9.28515625" style="1057" customWidth="1"/>
    <col min="13027" max="13027" width="10.42578125" style="1057" customWidth="1"/>
    <col min="13028" max="13033" width="9.28515625" style="1057" customWidth="1"/>
    <col min="13034" max="13034" width="8.28515625" style="1057" customWidth="1"/>
    <col min="13035" max="13042" width="9.28515625" style="1057" customWidth="1"/>
    <col min="13043" max="13236" width="9.85546875" style="1057" customWidth="1"/>
    <col min="13237" max="13278" width="9" style="1057"/>
    <col min="13279" max="13279" width="5" style="1057" customWidth="1"/>
    <col min="13280" max="13280" width="34.42578125" style="1057" customWidth="1"/>
    <col min="13281" max="13281" width="10.7109375" style="1057" customWidth="1"/>
    <col min="13282" max="13282" width="9.28515625" style="1057" customWidth="1"/>
    <col min="13283" max="13283" width="10.42578125" style="1057" customWidth="1"/>
    <col min="13284" max="13289" width="9.28515625" style="1057" customWidth="1"/>
    <col min="13290" max="13290" width="8.28515625" style="1057" customWidth="1"/>
    <col min="13291" max="13298" width="9.28515625" style="1057" customWidth="1"/>
    <col min="13299" max="13492" width="9.85546875" style="1057" customWidth="1"/>
    <col min="13493" max="13534" width="9" style="1057"/>
    <col min="13535" max="13535" width="5" style="1057" customWidth="1"/>
    <col min="13536" max="13536" width="34.42578125" style="1057" customWidth="1"/>
    <col min="13537" max="13537" width="10.7109375" style="1057" customWidth="1"/>
    <col min="13538" max="13538" width="9.28515625" style="1057" customWidth="1"/>
    <col min="13539" max="13539" width="10.42578125" style="1057" customWidth="1"/>
    <col min="13540" max="13545" width="9.28515625" style="1057" customWidth="1"/>
    <col min="13546" max="13546" width="8.28515625" style="1057" customWidth="1"/>
    <col min="13547" max="13554" width="9.28515625" style="1057" customWidth="1"/>
    <col min="13555" max="13748" width="9.85546875" style="1057" customWidth="1"/>
    <col min="13749" max="13790" width="9" style="1057"/>
    <col min="13791" max="13791" width="5" style="1057" customWidth="1"/>
    <col min="13792" max="13792" width="34.42578125" style="1057" customWidth="1"/>
    <col min="13793" max="13793" width="10.7109375" style="1057" customWidth="1"/>
    <col min="13794" max="13794" width="9.28515625" style="1057" customWidth="1"/>
    <col min="13795" max="13795" width="10.42578125" style="1057" customWidth="1"/>
    <col min="13796" max="13801" width="9.28515625" style="1057" customWidth="1"/>
    <col min="13802" max="13802" width="8.28515625" style="1057" customWidth="1"/>
    <col min="13803" max="13810" width="9.28515625" style="1057" customWidth="1"/>
    <col min="13811" max="14004" width="9.85546875" style="1057" customWidth="1"/>
    <col min="14005" max="14046" width="9" style="1057"/>
    <col min="14047" max="14047" width="5" style="1057" customWidth="1"/>
    <col min="14048" max="14048" width="34.42578125" style="1057" customWidth="1"/>
    <col min="14049" max="14049" width="10.7109375" style="1057" customWidth="1"/>
    <col min="14050" max="14050" width="9.28515625" style="1057" customWidth="1"/>
    <col min="14051" max="14051" width="10.42578125" style="1057" customWidth="1"/>
    <col min="14052" max="14057" width="9.28515625" style="1057" customWidth="1"/>
    <col min="14058" max="14058" width="8.28515625" style="1057" customWidth="1"/>
    <col min="14059" max="14066" width="9.28515625" style="1057" customWidth="1"/>
    <col min="14067" max="14260" width="9.85546875" style="1057" customWidth="1"/>
    <col min="14261" max="14302" width="9" style="1057"/>
    <col min="14303" max="14303" width="5" style="1057" customWidth="1"/>
    <col min="14304" max="14304" width="34.42578125" style="1057" customWidth="1"/>
    <col min="14305" max="14305" width="10.7109375" style="1057" customWidth="1"/>
    <col min="14306" max="14306" width="9.28515625" style="1057" customWidth="1"/>
    <col min="14307" max="14307" width="10.42578125" style="1057" customWidth="1"/>
    <col min="14308" max="14313" width="9.28515625" style="1057" customWidth="1"/>
    <col min="14314" max="14314" width="8.28515625" style="1057" customWidth="1"/>
    <col min="14315" max="14322" width="9.28515625" style="1057" customWidth="1"/>
    <col min="14323" max="14516" width="9.85546875" style="1057" customWidth="1"/>
    <col min="14517" max="14558" width="9" style="1057"/>
    <col min="14559" max="14559" width="5" style="1057" customWidth="1"/>
    <col min="14560" max="14560" width="34.42578125" style="1057" customWidth="1"/>
    <col min="14561" max="14561" width="10.7109375" style="1057" customWidth="1"/>
    <col min="14562" max="14562" width="9.28515625" style="1057" customWidth="1"/>
    <col min="14563" max="14563" width="10.42578125" style="1057" customWidth="1"/>
    <col min="14564" max="14569" width="9.28515625" style="1057" customWidth="1"/>
    <col min="14570" max="14570" width="8.28515625" style="1057" customWidth="1"/>
    <col min="14571" max="14578" width="9.28515625" style="1057" customWidth="1"/>
    <col min="14579" max="14772" width="9.85546875" style="1057" customWidth="1"/>
    <col min="14773" max="14814" width="9" style="1057"/>
    <col min="14815" max="14815" width="5" style="1057" customWidth="1"/>
    <col min="14816" max="14816" width="34.42578125" style="1057" customWidth="1"/>
    <col min="14817" max="14817" width="10.7109375" style="1057" customWidth="1"/>
    <col min="14818" max="14818" width="9.28515625" style="1057" customWidth="1"/>
    <col min="14819" max="14819" width="10.42578125" style="1057" customWidth="1"/>
    <col min="14820" max="14825" width="9.28515625" style="1057" customWidth="1"/>
    <col min="14826" max="14826" width="8.28515625" style="1057" customWidth="1"/>
    <col min="14827" max="14834" width="9.28515625" style="1057" customWidth="1"/>
    <col min="14835" max="15028" width="9.85546875" style="1057" customWidth="1"/>
    <col min="15029" max="15070" width="9" style="1057"/>
    <col min="15071" max="15071" width="5" style="1057" customWidth="1"/>
    <col min="15072" max="15072" width="34.42578125" style="1057" customWidth="1"/>
    <col min="15073" max="15073" width="10.7109375" style="1057" customWidth="1"/>
    <col min="15074" max="15074" width="9.28515625" style="1057" customWidth="1"/>
    <col min="15075" max="15075" width="10.42578125" style="1057" customWidth="1"/>
    <col min="15076" max="15081" width="9.28515625" style="1057" customWidth="1"/>
    <col min="15082" max="15082" width="8.28515625" style="1057" customWidth="1"/>
    <col min="15083" max="15090" width="9.28515625" style="1057" customWidth="1"/>
    <col min="15091" max="15284" width="9.85546875" style="1057" customWidth="1"/>
    <col min="15285" max="15326" width="9" style="1057"/>
    <col min="15327" max="15327" width="5" style="1057" customWidth="1"/>
    <col min="15328" max="15328" width="34.42578125" style="1057" customWidth="1"/>
    <col min="15329" max="15329" width="10.7109375" style="1057" customWidth="1"/>
    <col min="15330" max="15330" width="9.28515625" style="1057" customWidth="1"/>
    <col min="15331" max="15331" width="10.42578125" style="1057" customWidth="1"/>
    <col min="15332" max="15337" width="9.28515625" style="1057" customWidth="1"/>
    <col min="15338" max="15338" width="8.28515625" style="1057" customWidth="1"/>
    <col min="15339" max="15346" width="9.28515625" style="1057" customWidth="1"/>
    <col min="15347" max="15540" width="9.85546875" style="1057" customWidth="1"/>
    <col min="15541" max="15582" width="9" style="1057"/>
    <col min="15583" max="15583" width="5" style="1057" customWidth="1"/>
    <col min="15584" max="15584" width="34.42578125" style="1057" customWidth="1"/>
    <col min="15585" max="15585" width="10.7109375" style="1057" customWidth="1"/>
    <col min="15586" max="15586" width="9.28515625" style="1057" customWidth="1"/>
    <col min="15587" max="15587" width="10.42578125" style="1057" customWidth="1"/>
    <col min="15588" max="15593" width="9.28515625" style="1057" customWidth="1"/>
    <col min="15594" max="15594" width="8.28515625" style="1057" customWidth="1"/>
    <col min="15595" max="15602" width="9.28515625" style="1057" customWidth="1"/>
    <col min="15603" max="15796" width="9.85546875" style="1057" customWidth="1"/>
    <col min="15797" max="15838" width="9" style="1057"/>
    <col min="15839" max="15839" width="5" style="1057" customWidth="1"/>
    <col min="15840" max="15840" width="34.42578125" style="1057" customWidth="1"/>
    <col min="15841" max="15841" width="10.7109375" style="1057" customWidth="1"/>
    <col min="15842" max="15842" width="9.28515625" style="1057" customWidth="1"/>
    <col min="15843" max="15843" width="10.42578125" style="1057" customWidth="1"/>
    <col min="15844" max="15849" width="9.28515625" style="1057" customWidth="1"/>
    <col min="15850" max="15850" width="8.28515625" style="1057" customWidth="1"/>
    <col min="15851" max="15858" width="9.28515625" style="1057" customWidth="1"/>
    <col min="15859" max="16384" width="9.85546875" style="1057" customWidth="1"/>
  </cols>
  <sheetData>
    <row r="2" spans="1:25">
      <c r="B2" s="1960" t="s">
        <v>313</v>
      </c>
      <c r="C2" s="1960"/>
      <c r="D2" s="1960"/>
      <c r="E2" s="1961"/>
      <c r="F2" s="1960"/>
      <c r="G2" s="1960"/>
      <c r="H2" s="1960"/>
      <c r="I2" s="1960"/>
      <c r="J2" s="1960"/>
      <c r="K2" s="1960"/>
      <c r="L2" s="1960"/>
      <c r="M2" s="1960"/>
      <c r="N2" s="1960"/>
      <c r="O2" s="1960"/>
      <c r="P2" s="1960"/>
      <c r="Q2" s="1960"/>
      <c r="R2" s="1960"/>
      <c r="S2" s="1960"/>
      <c r="T2" s="1960"/>
      <c r="U2" s="1960"/>
      <c r="V2" s="1960"/>
      <c r="W2" s="1960"/>
      <c r="X2" s="1960"/>
      <c r="Y2" s="1960"/>
    </row>
    <row r="3" spans="1:25">
      <c r="V3" s="1962" t="s">
        <v>228</v>
      </c>
      <c r="W3" s="1962"/>
      <c r="X3" s="1962"/>
      <c r="Y3" s="1962"/>
    </row>
    <row r="4" spans="1:25">
      <c r="B4" s="1963" t="s">
        <v>309</v>
      </c>
      <c r="C4" s="1963" t="s">
        <v>847</v>
      </c>
      <c r="D4" s="1705"/>
      <c r="E4" s="1966" t="s">
        <v>751</v>
      </c>
      <c r="F4" s="1969" t="s">
        <v>308</v>
      </c>
      <c r="G4" s="1972" t="s">
        <v>754</v>
      </c>
      <c r="H4" s="1973"/>
      <c r="I4" s="1973"/>
      <c r="J4" s="1973"/>
      <c r="K4" s="1973"/>
      <c r="L4" s="1974"/>
      <c r="M4" s="1972" t="s">
        <v>826</v>
      </c>
      <c r="N4" s="1973"/>
      <c r="O4" s="1973"/>
      <c r="P4" s="1973"/>
      <c r="Q4" s="1973"/>
      <c r="R4" s="1973"/>
      <c r="S4" s="1973"/>
      <c r="T4" s="1973"/>
      <c r="U4" s="1973"/>
      <c r="V4" s="1973"/>
      <c r="W4" s="1973"/>
      <c r="X4" s="1973"/>
      <c r="Y4" s="1974"/>
    </row>
    <row r="5" spans="1:25">
      <c r="B5" s="1964"/>
      <c r="C5" s="1964"/>
      <c r="D5" s="1703"/>
      <c r="E5" s="1967"/>
      <c r="F5" s="1970"/>
      <c r="G5" s="1975"/>
      <c r="H5" s="1976"/>
      <c r="I5" s="1976"/>
      <c r="J5" s="1976"/>
      <c r="K5" s="1976"/>
      <c r="L5" s="1977"/>
      <c r="M5" s="1975"/>
      <c r="N5" s="1976"/>
      <c r="O5" s="1976"/>
      <c r="P5" s="1976"/>
      <c r="Q5" s="1976"/>
      <c r="R5" s="1976"/>
      <c r="S5" s="1976"/>
      <c r="T5" s="1976"/>
      <c r="U5" s="1976"/>
      <c r="V5" s="1976"/>
      <c r="W5" s="1976"/>
      <c r="X5" s="1976"/>
      <c r="Y5" s="1977"/>
    </row>
    <row r="6" spans="1:25" s="1453" customFormat="1" ht="48">
      <c r="B6" s="1965"/>
      <c r="C6" s="1965"/>
      <c r="D6" s="1704"/>
      <c r="E6" s="1968"/>
      <c r="F6" s="1970"/>
      <c r="G6" s="1061" t="s">
        <v>5</v>
      </c>
      <c r="H6" s="1061" t="s">
        <v>821</v>
      </c>
      <c r="I6" s="1062" t="s">
        <v>822</v>
      </c>
      <c r="J6" s="1062" t="s">
        <v>823</v>
      </c>
      <c r="K6" s="1063" t="s">
        <v>824</v>
      </c>
      <c r="L6" s="1064" t="s">
        <v>825</v>
      </c>
      <c r="M6" s="1065" t="s">
        <v>5</v>
      </c>
      <c r="N6" s="1314" t="s">
        <v>727</v>
      </c>
      <c r="O6" s="1315" t="s">
        <v>728</v>
      </c>
      <c r="P6" s="1315" t="s">
        <v>729</v>
      </c>
      <c r="Q6" s="1315" t="s">
        <v>730</v>
      </c>
      <c r="R6" s="1315" t="s">
        <v>731</v>
      </c>
      <c r="S6" s="1315" t="s">
        <v>732</v>
      </c>
      <c r="T6" s="1315" t="s">
        <v>733</v>
      </c>
      <c r="U6" s="1315" t="s">
        <v>734</v>
      </c>
      <c r="V6" s="1315" t="s">
        <v>735</v>
      </c>
      <c r="W6" s="1315" t="s">
        <v>736</v>
      </c>
      <c r="X6" s="1315" t="s">
        <v>737</v>
      </c>
      <c r="Y6" s="1315" t="s">
        <v>738</v>
      </c>
    </row>
    <row r="7" spans="1:25" s="1066" customFormat="1">
      <c r="B7" s="1067"/>
      <c r="C7" s="1067"/>
      <c r="D7" s="1067"/>
      <c r="E7" s="1284"/>
      <c r="F7" s="1971"/>
      <c r="G7" s="1068"/>
      <c r="H7" s="1068">
        <v>1</v>
      </c>
      <c r="I7" s="1069">
        <v>2</v>
      </c>
      <c r="J7" s="1069">
        <v>3</v>
      </c>
      <c r="K7" s="1069">
        <v>4</v>
      </c>
      <c r="L7" s="1069">
        <v>5</v>
      </c>
      <c r="M7" s="1070"/>
      <c r="N7" s="1071">
        <v>1</v>
      </c>
      <c r="O7" s="1072">
        <v>2</v>
      </c>
      <c r="P7" s="1071">
        <v>3</v>
      </c>
      <c r="Q7" s="1072">
        <v>4</v>
      </c>
      <c r="R7" s="1071">
        <v>5</v>
      </c>
      <c r="S7" s="1072">
        <v>6</v>
      </c>
      <c r="T7" s="1071">
        <v>7</v>
      </c>
      <c r="U7" s="1072">
        <v>8</v>
      </c>
      <c r="V7" s="1071">
        <v>9</v>
      </c>
      <c r="W7" s="1072">
        <v>10</v>
      </c>
      <c r="X7" s="1071">
        <v>11</v>
      </c>
      <c r="Y7" s="1072">
        <v>12</v>
      </c>
    </row>
    <row r="8" spans="1:25" s="1073" customFormat="1" ht="11.25">
      <c r="B8" s="1074"/>
      <c r="C8" s="1074"/>
      <c r="D8" s="1430"/>
      <c r="E8" s="1285" t="s">
        <v>244</v>
      </c>
      <c r="F8" s="1231">
        <f>G8+M8</f>
        <v>53258270.25</v>
      </c>
      <c r="G8" s="1231">
        <f>SUM(H8:L8)</f>
        <v>20509506</v>
      </c>
      <c r="H8" s="1231">
        <f t="shared" ref="H8:Y8" si="0">H9+H33+H85+H124+H133+H150+H185+H191+H213+H229+H247+H261+H268+H270+H274+H279+H285+H292+H300+H323</f>
        <v>10136505</v>
      </c>
      <c r="I8" s="1231">
        <f t="shared" si="0"/>
        <v>2665000</v>
      </c>
      <c r="J8" s="1231">
        <f t="shared" si="0"/>
        <v>6895702</v>
      </c>
      <c r="K8" s="1231">
        <f t="shared" si="0"/>
        <v>438200</v>
      </c>
      <c r="L8" s="1231">
        <f t="shared" si="0"/>
        <v>374099</v>
      </c>
      <c r="M8" s="1231">
        <f t="shared" si="0"/>
        <v>32748764.25</v>
      </c>
      <c r="N8" s="1231">
        <f t="shared" si="0"/>
        <v>4503475</v>
      </c>
      <c r="O8" s="1231">
        <f t="shared" si="0"/>
        <v>1729448.7039999999</v>
      </c>
      <c r="P8" s="1231">
        <f t="shared" si="0"/>
        <v>2237278</v>
      </c>
      <c r="Q8" s="1231">
        <f t="shared" si="0"/>
        <v>3746814</v>
      </c>
      <c r="R8" s="1231">
        <f t="shared" si="0"/>
        <v>3576945</v>
      </c>
      <c r="S8" s="1231">
        <f t="shared" si="0"/>
        <v>2117314.2000000002</v>
      </c>
      <c r="T8" s="1231">
        <f t="shared" si="0"/>
        <v>3392244.3459999999</v>
      </c>
      <c r="U8" s="1231">
        <f t="shared" si="0"/>
        <v>2610082</v>
      </c>
      <c r="V8" s="1231">
        <f t="shared" si="0"/>
        <v>3160317</v>
      </c>
      <c r="W8" s="1231">
        <f t="shared" si="0"/>
        <v>1783157</v>
      </c>
      <c r="X8" s="1231">
        <f t="shared" si="0"/>
        <v>1893128</v>
      </c>
      <c r="Y8" s="1231">
        <f t="shared" si="0"/>
        <v>1998561</v>
      </c>
    </row>
    <row r="9" spans="1:25" s="1075" customFormat="1" ht="60">
      <c r="A9" s="1075">
        <v>1</v>
      </c>
      <c r="B9" s="1076">
        <v>1</v>
      </c>
      <c r="C9" s="1077" t="s">
        <v>34</v>
      </c>
      <c r="D9" s="1303"/>
      <c r="E9" s="1286" t="s">
        <v>243</v>
      </c>
      <c r="F9" s="1232">
        <f t="shared" ref="F9:F42" si="1">G9+M9</f>
        <v>1229905.5</v>
      </c>
      <c r="G9" s="1232">
        <f t="shared" ref="G9:G42" si="2">SUM(H9:L9)</f>
        <v>124400</v>
      </c>
      <c r="H9" s="1233">
        <f>H10+H18+H20+H30</f>
        <v>124400</v>
      </c>
      <c r="I9" s="1233">
        <f>I10+I18+I20+I30</f>
        <v>0</v>
      </c>
      <c r="J9" s="1233">
        <f>J10+J18+J20+J30</f>
        <v>0</v>
      </c>
      <c r="K9" s="1233">
        <f>K10+K18+K20+K30</f>
        <v>0</v>
      </c>
      <c r="L9" s="1233">
        <f>L10+L18+L20+L30</f>
        <v>0</v>
      </c>
      <c r="M9" s="1232">
        <f t="shared" ref="M9:M42" si="3">SUM(N9:Y9)</f>
        <v>1105505.5</v>
      </c>
      <c r="N9" s="1233">
        <f t="shared" ref="N9:Y9" si="4">N10+N18+N20+N30</f>
        <v>66402</v>
      </c>
      <c r="O9" s="1233">
        <f t="shared" si="4"/>
        <v>64975.5</v>
      </c>
      <c r="P9" s="1233">
        <f t="shared" si="4"/>
        <v>37250</v>
      </c>
      <c r="Q9" s="1233">
        <f t="shared" si="4"/>
        <v>291080</v>
      </c>
      <c r="R9" s="1233">
        <f t="shared" si="4"/>
        <v>172050</v>
      </c>
      <c r="S9" s="1233">
        <f t="shared" si="4"/>
        <v>49700</v>
      </c>
      <c r="T9" s="1233">
        <f t="shared" si="4"/>
        <v>126580</v>
      </c>
      <c r="U9" s="1233">
        <f t="shared" si="4"/>
        <v>50308</v>
      </c>
      <c r="V9" s="1233">
        <f t="shared" si="4"/>
        <v>40800</v>
      </c>
      <c r="W9" s="1233">
        <f t="shared" si="4"/>
        <v>45960</v>
      </c>
      <c r="X9" s="1233">
        <f t="shared" si="4"/>
        <v>49600</v>
      </c>
      <c r="Y9" s="1233">
        <f t="shared" si="4"/>
        <v>110800</v>
      </c>
    </row>
    <row r="10" spans="1:25" s="1078" customFormat="1" ht="36">
      <c r="A10" s="1078" t="s">
        <v>806</v>
      </c>
      <c r="B10" s="1079" t="s">
        <v>578</v>
      </c>
      <c r="C10" s="1080" t="s">
        <v>34</v>
      </c>
      <c r="D10" s="1431"/>
      <c r="E10" s="1081" t="s">
        <v>827</v>
      </c>
      <c r="F10" s="1235">
        <f t="shared" si="1"/>
        <v>1044980</v>
      </c>
      <c r="G10" s="1235">
        <f t="shared" si="2"/>
        <v>86000</v>
      </c>
      <c r="H10" s="1236">
        <f>SUM(H11:H17)</f>
        <v>86000</v>
      </c>
      <c r="I10" s="1237">
        <f>SUM(I11:I17)</f>
        <v>0</v>
      </c>
      <c r="J10" s="1237">
        <f>SUM(J11:J17)</f>
        <v>0</v>
      </c>
      <c r="K10" s="1237">
        <f>SUM(K11:K17)</f>
        <v>0</v>
      </c>
      <c r="L10" s="1237">
        <f>SUM(L11:L17)</f>
        <v>0</v>
      </c>
      <c r="M10" s="1235">
        <f t="shared" si="3"/>
        <v>958980</v>
      </c>
      <c r="N10" s="1236">
        <f t="shared" ref="N10:Y10" si="5">SUM(N11:N17)</f>
        <v>66402</v>
      </c>
      <c r="O10" s="1236">
        <f t="shared" si="5"/>
        <v>38000</v>
      </c>
      <c r="P10" s="1236">
        <f t="shared" si="5"/>
        <v>37250</v>
      </c>
      <c r="Q10" s="1236">
        <f t="shared" si="5"/>
        <v>291080</v>
      </c>
      <c r="R10" s="1236">
        <f t="shared" si="5"/>
        <v>52500</v>
      </c>
      <c r="S10" s="1236">
        <f t="shared" si="5"/>
        <v>49700</v>
      </c>
      <c r="T10" s="1236">
        <f t="shared" si="5"/>
        <v>126580</v>
      </c>
      <c r="U10" s="1236">
        <f t="shared" si="5"/>
        <v>50308</v>
      </c>
      <c r="V10" s="1236">
        <f t="shared" si="5"/>
        <v>40800</v>
      </c>
      <c r="W10" s="1236">
        <f t="shared" si="5"/>
        <v>45960</v>
      </c>
      <c r="X10" s="1236">
        <f t="shared" si="5"/>
        <v>49600</v>
      </c>
      <c r="Y10" s="1236">
        <f t="shared" si="5"/>
        <v>110800</v>
      </c>
    </row>
    <row r="11" spans="1:25" s="1082" customFormat="1" ht="60">
      <c r="B11" s="1083"/>
      <c r="C11" s="1084" t="s">
        <v>34</v>
      </c>
      <c r="D11" s="1203">
        <v>1</v>
      </c>
      <c r="E11" s="1087" t="s">
        <v>306</v>
      </c>
      <c r="F11" s="1232">
        <f t="shared" si="1"/>
        <v>262348</v>
      </c>
      <c r="G11" s="1232">
        <f t="shared" si="2"/>
        <v>24000</v>
      </c>
      <c r="H11" s="1240">
        <v>24000</v>
      </c>
      <c r="I11" s="1241"/>
      <c r="J11" s="1241"/>
      <c r="K11" s="1241"/>
      <c r="L11" s="1241"/>
      <c r="M11" s="1232">
        <f t="shared" si="3"/>
        <v>238348</v>
      </c>
      <c r="N11" s="1240">
        <v>45600</v>
      </c>
      <c r="O11" s="1240">
        <v>20000</v>
      </c>
      <c r="P11" s="1240">
        <v>3520</v>
      </c>
      <c r="Q11" s="1240">
        <v>44400</v>
      </c>
      <c r="R11" s="1240">
        <v>2500</v>
      </c>
      <c r="S11" s="1240">
        <v>1500</v>
      </c>
      <c r="T11" s="1240">
        <v>8200</v>
      </c>
      <c r="U11" s="1240">
        <v>33648</v>
      </c>
      <c r="V11" s="1240">
        <v>25800</v>
      </c>
      <c r="W11" s="1240">
        <v>5960</v>
      </c>
      <c r="X11" s="1240">
        <v>9600</v>
      </c>
      <c r="Y11" s="1240">
        <v>37620</v>
      </c>
    </row>
    <row r="12" spans="1:25" s="1082" customFormat="1" ht="24">
      <c r="B12" s="1083"/>
      <c r="C12" s="1084" t="s">
        <v>34</v>
      </c>
      <c r="D12" s="1203">
        <v>2</v>
      </c>
      <c r="E12" s="1087" t="s">
        <v>187</v>
      </c>
      <c r="F12" s="1232">
        <f t="shared" si="1"/>
        <v>42970</v>
      </c>
      <c r="G12" s="1232">
        <f t="shared" si="2"/>
        <v>0</v>
      </c>
      <c r="H12" s="1240"/>
      <c r="I12" s="1241"/>
      <c r="J12" s="1241"/>
      <c r="K12" s="1241"/>
      <c r="L12" s="1241"/>
      <c r="M12" s="1232">
        <f t="shared" si="3"/>
        <v>42970</v>
      </c>
      <c r="N12" s="1240">
        <v>500</v>
      </c>
      <c r="O12" s="1240"/>
      <c r="P12" s="1240">
        <v>330</v>
      </c>
      <c r="Q12" s="1240">
        <v>1680</v>
      </c>
      <c r="R12" s="1240">
        <v>2000</v>
      </c>
      <c r="S12" s="1240">
        <v>2000</v>
      </c>
      <c r="T12" s="1240">
        <v>9800</v>
      </c>
      <c r="U12" s="1240">
        <v>660</v>
      </c>
      <c r="V12" s="1240">
        <v>15000</v>
      </c>
      <c r="W12" s="1240">
        <v>3000</v>
      </c>
      <c r="X12" s="1240">
        <v>4000</v>
      </c>
      <c r="Y12" s="1240">
        <v>4000</v>
      </c>
    </row>
    <row r="13" spans="1:25" s="1082" customFormat="1" ht="24">
      <c r="B13" s="1083"/>
      <c r="C13" s="1084" t="s">
        <v>34</v>
      </c>
      <c r="D13" s="1203">
        <v>3</v>
      </c>
      <c r="E13" s="1087" t="s">
        <v>188</v>
      </c>
      <c r="F13" s="1232">
        <f t="shared" si="1"/>
        <v>89202</v>
      </c>
      <c r="G13" s="1232">
        <f t="shared" si="2"/>
        <v>12000</v>
      </c>
      <c r="H13" s="1240">
        <v>12000</v>
      </c>
      <c r="I13" s="1241"/>
      <c r="J13" s="1241"/>
      <c r="K13" s="1241"/>
      <c r="L13" s="1241"/>
      <c r="M13" s="1232">
        <f t="shared" si="3"/>
        <v>77202</v>
      </c>
      <c r="N13" s="1240">
        <v>702</v>
      </c>
      <c r="O13" s="1240">
        <v>10000</v>
      </c>
      <c r="P13" s="1240">
        <v>10000</v>
      </c>
      <c r="Q13" s="1240">
        <v>30000</v>
      </c>
      <c r="R13" s="1240">
        <v>3000</v>
      </c>
      <c r="S13" s="1240"/>
      <c r="T13" s="1240">
        <v>2500</v>
      </c>
      <c r="U13" s="1240"/>
      <c r="V13" s="1240"/>
      <c r="W13" s="1240">
        <v>5000</v>
      </c>
      <c r="X13" s="1240"/>
      <c r="Y13" s="1240">
        <v>16000</v>
      </c>
    </row>
    <row r="14" spans="1:25" s="1082" customFormat="1" ht="36">
      <c r="B14" s="1083"/>
      <c r="C14" s="1084" t="s">
        <v>34</v>
      </c>
      <c r="D14" s="1203">
        <v>4</v>
      </c>
      <c r="E14" s="1163" t="s">
        <v>207</v>
      </c>
      <c r="F14" s="1232">
        <f t="shared" si="1"/>
        <v>54000</v>
      </c>
      <c r="G14" s="1232">
        <f t="shared" si="2"/>
        <v>0</v>
      </c>
      <c r="H14" s="1242"/>
      <c r="I14" s="1243"/>
      <c r="J14" s="1243"/>
      <c r="K14" s="1243"/>
      <c r="L14" s="1243"/>
      <c r="M14" s="1232">
        <f t="shared" si="3"/>
        <v>54000</v>
      </c>
      <c r="N14" s="1240"/>
      <c r="O14" s="1244"/>
      <c r="P14" s="1244">
        <v>5000</v>
      </c>
      <c r="Q14" s="1244">
        <v>10000</v>
      </c>
      <c r="R14" s="1244"/>
      <c r="S14" s="1244">
        <v>9000</v>
      </c>
      <c r="T14" s="1240">
        <v>20000</v>
      </c>
      <c r="U14" s="1244">
        <v>10000</v>
      </c>
      <c r="V14" s="1244"/>
      <c r="W14" s="1244"/>
      <c r="X14" s="1244"/>
      <c r="Y14" s="1240"/>
    </row>
    <row r="15" spans="1:25" s="1082" customFormat="1">
      <c r="B15" s="1083"/>
      <c r="C15" s="1084" t="s">
        <v>34</v>
      </c>
      <c r="D15" s="1203">
        <v>5</v>
      </c>
      <c r="E15" s="1087" t="s">
        <v>189</v>
      </c>
      <c r="F15" s="1232">
        <f t="shared" si="1"/>
        <v>332680</v>
      </c>
      <c r="G15" s="1232">
        <f t="shared" si="2"/>
        <v>0</v>
      </c>
      <c r="H15" s="1240"/>
      <c r="I15" s="1241"/>
      <c r="J15" s="1241"/>
      <c r="K15" s="1241"/>
      <c r="L15" s="1241"/>
      <c r="M15" s="1232">
        <f t="shared" si="3"/>
        <v>332680</v>
      </c>
      <c r="N15" s="1240"/>
      <c r="O15" s="1240">
        <v>4500</v>
      </c>
      <c r="P15" s="1240">
        <v>8400</v>
      </c>
      <c r="Q15" s="1240">
        <v>105000</v>
      </c>
      <c r="R15" s="1240"/>
      <c r="S15" s="1240">
        <v>30000</v>
      </c>
      <c r="T15" s="1240">
        <v>83580</v>
      </c>
      <c r="U15" s="1240"/>
      <c r="V15" s="1240"/>
      <c r="W15" s="1240">
        <v>22000</v>
      </c>
      <c r="X15" s="1240">
        <v>36000</v>
      </c>
      <c r="Y15" s="1240">
        <v>43200</v>
      </c>
    </row>
    <row r="16" spans="1:25" s="1082" customFormat="1" ht="24">
      <c r="B16" s="1083"/>
      <c r="C16" s="1084" t="s">
        <v>34</v>
      </c>
      <c r="D16" s="1203">
        <v>6</v>
      </c>
      <c r="E16" s="1087" t="s">
        <v>216</v>
      </c>
      <c r="F16" s="1232">
        <f t="shared" si="1"/>
        <v>191300</v>
      </c>
      <c r="G16" s="1232">
        <f t="shared" si="2"/>
        <v>0</v>
      </c>
      <c r="H16" s="1240"/>
      <c r="I16" s="1241"/>
      <c r="J16" s="1241"/>
      <c r="K16" s="1241"/>
      <c r="L16" s="1241"/>
      <c r="M16" s="1232">
        <f t="shared" si="3"/>
        <v>191300</v>
      </c>
      <c r="N16" s="1240">
        <v>19600</v>
      </c>
      <c r="O16" s="1240">
        <v>3500</v>
      </c>
      <c r="P16" s="1240">
        <v>10000</v>
      </c>
      <c r="Q16" s="1240">
        <v>100000</v>
      </c>
      <c r="R16" s="1240">
        <v>45000</v>
      </c>
      <c r="S16" s="1240">
        <v>7200</v>
      </c>
      <c r="T16" s="1240"/>
      <c r="U16" s="1240">
        <v>6000</v>
      </c>
      <c r="V16" s="1240"/>
      <c r="W16" s="1240"/>
      <c r="X16" s="1240"/>
      <c r="Y16" s="1240"/>
    </row>
    <row r="17" spans="1:25" ht="36">
      <c r="B17" s="1083"/>
      <c r="C17" s="1084" t="s">
        <v>34</v>
      </c>
      <c r="D17" s="1203">
        <v>7</v>
      </c>
      <c r="E17" s="1087" t="s">
        <v>509</v>
      </c>
      <c r="F17" s="1232">
        <f t="shared" si="1"/>
        <v>72480</v>
      </c>
      <c r="G17" s="1232">
        <f t="shared" si="2"/>
        <v>50000</v>
      </c>
      <c r="H17" s="1240">
        <v>50000</v>
      </c>
      <c r="I17" s="1241"/>
      <c r="J17" s="1241"/>
      <c r="K17" s="1241"/>
      <c r="L17" s="1241"/>
      <c r="M17" s="1232">
        <f t="shared" si="3"/>
        <v>22480</v>
      </c>
      <c r="N17" s="1240"/>
      <c r="O17" s="1240"/>
      <c r="P17" s="1240"/>
      <c r="Q17" s="1240"/>
      <c r="R17" s="1240"/>
      <c r="S17" s="1240"/>
      <c r="T17" s="1240">
        <v>2500</v>
      </c>
      <c r="U17" s="1240"/>
      <c r="V17" s="1240"/>
      <c r="W17" s="1240">
        <v>10000</v>
      </c>
      <c r="X17" s="1240"/>
      <c r="Y17" s="1240">
        <v>9980</v>
      </c>
    </row>
    <row r="18" spans="1:25" s="1078" customFormat="1" ht="24">
      <c r="A18" s="1078" t="s">
        <v>807</v>
      </c>
      <c r="B18" s="1079" t="s">
        <v>579</v>
      </c>
      <c r="C18" s="1080" t="s">
        <v>34</v>
      </c>
      <c r="D18" s="1431"/>
      <c r="E18" s="1473" t="s">
        <v>861</v>
      </c>
      <c r="F18" s="1235">
        <f t="shared" si="1"/>
        <v>0</v>
      </c>
      <c r="G18" s="1235">
        <f t="shared" si="2"/>
        <v>0</v>
      </c>
      <c r="H18" s="1236">
        <f>SUM(H19:H19)</f>
        <v>0</v>
      </c>
      <c r="I18" s="1237">
        <f>SUM(I19:I19)</f>
        <v>0</v>
      </c>
      <c r="J18" s="1237">
        <f>SUM(J19:J19)</f>
        <v>0</v>
      </c>
      <c r="K18" s="1237">
        <f>SUM(K19:K19)</f>
        <v>0</v>
      </c>
      <c r="L18" s="1237">
        <f>SUM(L19:L19)</f>
        <v>0</v>
      </c>
      <c r="M18" s="1235">
        <f t="shared" si="3"/>
        <v>0</v>
      </c>
      <c r="N18" s="1236">
        <f t="shared" ref="N18:Y18" si="6">SUM(N19:N19)</f>
        <v>0</v>
      </c>
      <c r="O18" s="1236">
        <f t="shared" si="6"/>
        <v>0</v>
      </c>
      <c r="P18" s="1236">
        <f t="shared" si="6"/>
        <v>0</v>
      </c>
      <c r="Q18" s="1236">
        <f t="shared" si="6"/>
        <v>0</v>
      </c>
      <c r="R18" s="1236">
        <f t="shared" si="6"/>
        <v>0</v>
      </c>
      <c r="S18" s="1236">
        <f t="shared" si="6"/>
        <v>0</v>
      </c>
      <c r="T18" s="1236">
        <f t="shared" si="6"/>
        <v>0</v>
      </c>
      <c r="U18" s="1236">
        <f t="shared" si="6"/>
        <v>0</v>
      </c>
      <c r="V18" s="1236">
        <f t="shared" si="6"/>
        <v>0</v>
      </c>
      <c r="W18" s="1236">
        <f t="shared" si="6"/>
        <v>0</v>
      </c>
      <c r="X18" s="1236">
        <f t="shared" si="6"/>
        <v>0</v>
      </c>
      <c r="Y18" s="1236">
        <f t="shared" si="6"/>
        <v>0</v>
      </c>
    </row>
    <row r="19" spans="1:25">
      <c r="B19" s="1083"/>
      <c r="C19" s="1084"/>
      <c r="D19" s="1203"/>
      <c r="E19" s="1087"/>
      <c r="F19" s="1232"/>
      <c r="G19" s="1232"/>
      <c r="H19" s="1240"/>
      <c r="I19" s="1241"/>
      <c r="J19" s="1241"/>
      <c r="K19" s="1241"/>
      <c r="L19" s="1241"/>
      <c r="M19" s="1232"/>
      <c r="N19" s="1240"/>
      <c r="O19" s="1240"/>
      <c r="P19" s="1240"/>
      <c r="Q19" s="1240"/>
      <c r="R19" s="1240"/>
      <c r="S19" s="1240"/>
      <c r="T19" s="1240"/>
      <c r="U19" s="1240"/>
      <c r="V19" s="1240"/>
      <c r="W19" s="1240"/>
      <c r="X19" s="1240"/>
      <c r="Y19" s="1240"/>
    </row>
    <row r="20" spans="1:25" s="1078" customFormat="1">
      <c r="A20" s="1078" t="s">
        <v>808</v>
      </c>
      <c r="B20" s="1079" t="s">
        <v>580</v>
      </c>
      <c r="C20" s="1080" t="s">
        <v>34</v>
      </c>
      <c r="D20" s="1431"/>
      <c r="E20" s="1081" t="s">
        <v>862</v>
      </c>
      <c r="F20" s="1235">
        <f t="shared" si="1"/>
        <v>35375.5</v>
      </c>
      <c r="G20" s="1235">
        <f t="shared" si="2"/>
        <v>8400</v>
      </c>
      <c r="H20" s="1236">
        <f>SUM(H21:H29)</f>
        <v>8400</v>
      </c>
      <c r="I20" s="1237">
        <f>SUM(I21:I29)</f>
        <v>0</v>
      </c>
      <c r="J20" s="1237">
        <f>SUM(J21:J29)</f>
        <v>0</v>
      </c>
      <c r="K20" s="1237">
        <f>SUM(K21:K29)</f>
        <v>0</v>
      </c>
      <c r="L20" s="1237">
        <f>SUM(L21:L29)</f>
        <v>0</v>
      </c>
      <c r="M20" s="1235">
        <f t="shared" si="3"/>
        <v>26975.5</v>
      </c>
      <c r="N20" s="1236">
        <f t="shared" ref="N20:Y20" si="7">SUM(N21:N29)</f>
        <v>0</v>
      </c>
      <c r="O20" s="1236">
        <f t="shared" si="7"/>
        <v>26975.5</v>
      </c>
      <c r="P20" s="1236">
        <f t="shared" si="7"/>
        <v>0</v>
      </c>
      <c r="Q20" s="1236">
        <f t="shared" si="7"/>
        <v>0</v>
      </c>
      <c r="R20" s="1236">
        <f t="shared" si="7"/>
        <v>0</v>
      </c>
      <c r="S20" s="1236">
        <f t="shared" si="7"/>
        <v>0</v>
      </c>
      <c r="T20" s="1236">
        <f t="shared" si="7"/>
        <v>0</v>
      </c>
      <c r="U20" s="1236">
        <f t="shared" si="7"/>
        <v>0</v>
      </c>
      <c r="V20" s="1236">
        <f t="shared" si="7"/>
        <v>0</v>
      </c>
      <c r="W20" s="1236">
        <f t="shared" si="7"/>
        <v>0</v>
      </c>
      <c r="X20" s="1236">
        <f t="shared" si="7"/>
        <v>0</v>
      </c>
      <c r="Y20" s="1236">
        <f t="shared" si="7"/>
        <v>0</v>
      </c>
    </row>
    <row r="21" spans="1:25">
      <c r="B21" s="1090"/>
      <c r="C21" s="1091" t="s">
        <v>34</v>
      </c>
      <c r="D21" s="1432">
        <v>1</v>
      </c>
      <c r="E21" s="1087" t="s">
        <v>218</v>
      </c>
      <c r="F21" s="1232">
        <f t="shared" si="1"/>
        <v>10000</v>
      </c>
      <c r="G21" s="1232">
        <f t="shared" si="2"/>
        <v>0</v>
      </c>
      <c r="H21" s="1240"/>
      <c r="I21" s="1241"/>
      <c r="J21" s="1241"/>
      <c r="K21" s="1241"/>
      <c r="L21" s="1241"/>
      <c r="M21" s="1232">
        <f t="shared" si="3"/>
        <v>10000</v>
      </c>
      <c r="N21" s="1240"/>
      <c r="O21" s="1240">
        <v>10000</v>
      </c>
      <c r="P21" s="1240"/>
      <c r="Q21" s="1240"/>
      <c r="R21" s="1240"/>
      <c r="S21" s="1240"/>
      <c r="T21" s="1240"/>
      <c r="U21" s="1240"/>
      <c r="V21" s="1240"/>
      <c r="W21" s="1240"/>
      <c r="X21" s="1240"/>
      <c r="Y21" s="1240"/>
    </row>
    <row r="22" spans="1:25">
      <c r="B22" s="1090"/>
      <c r="C22" s="1091" t="s">
        <v>34</v>
      </c>
      <c r="D22" s="1432">
        <v>2</v>
      </c>
      <c r="E22" s="1087" t="s">
        <v>219</v>
      </c>
      <c r="F22" s="1232">
        <f t="shared" si="1"/>
        <v>2000</v>
      </c>
      <c r="G22" s="1232">
        <f t="shared" si="2"/>
        <v>0</v>
      </c>
      <c r="H22" s="1240"/>
      <c r="I22" s="1241"/>
      <c r="J22" s="1241"/>
      <c r="K22" s="1241"/>
      <c r="L22" s="1241"/>
      <c r="M22" s="1232">
        <f t="shared" si="3"/>
        <v>2000</v>
      </c>
      <c r="N22" s="1240"/>
      <c r="O22" s="1240">
        <v>2000</v>
      </c>
      <c r="P22" s="1240"/>
      <c r="Q22" s="1240"/>
      <c r="R22" s="1240"/>
      <c r="S22" s="1240"/>
      <c r="T22" s="1240"/>
      <c r="U22" s="1240"/>
      <c r="V22" s="1240"/>
      <c r="W22" s="1240"/>
      <c r="X22" s="1240"/>
      <c r="Y22" s="1240"/>
    </row>
    <row r="23" spans="1:25">
      <c r="B23" s="1090"/>
      <c r="C23" s="1091" t="s">
        <v>34</v>
      </c>
      <c r="D23" s="1432">
        <v>3</v>
      </c>
      <c r="E23" s="1087" t="s">
        <v>220</v>
      </c>
      <c r="F23" s="1232">
        <f t="shared" si="1"/>
        <v>5000</v>
      </c>
      <c r="G23" s="1232">
        <f t="shared" si="2"/>
        <v>0</v>
      </c>
      <c r="H23" s="1240"/>
      <c r="I23" s="1241"/>
      <c r="J23" s="1241"/>
      <c r="K23" s="1241"/>
      <c r="L23" s="1241"/>
      <c r="M23" s="1232">
        <f t="shared" si="3"/>
        <v>5000</v>
      </c>
      <c r="N23" s="1240"/>
      <c r="O23" s="1240">
        <v>5000</v>
      </c>
      <c r="P23" s="1240"/>
      <c r="Q23" s="1240"/>
      <c r="R23" s="1240"/>
      <c r="S23" s="1240"/>
      <c r="T23" s="1240"/>
      <c r="U23" s="1240"/>
      <c r="V23" s="1240"/>
      <c r="W23" s="1240"/>
      <c r="X23" s="1240"/>
      <c r="Y23" s="1240"/>
    </row>
    <row r="24" spans="1:25" ht="36">
      <c r="B24" s="1090"/>
      <c r="C24" s="1091" t="s">
        <v>34</v>
      </c>
      <c r="D24" s="1432">
        <v>4</v>
      </c>
      <c r="E24" s="1087" t="s">
        <v>221</v>
      </c>
      <c r="F24" s="1232">
        <f t="shared" si="1"/>
        <v>2500</v>
      </c>
      <c r="G24" s="1232">
        <f t="shared" si="2"/>
        <v>0</v>
      </c>
      <c r="H24" s="1240"/>
      <c r="I24" s="1241"/>
      <c r="J24" s="1241"/>
      <c r="K24" s="1241"/>
      <c r="L24" s="1241"/>
      <c r="M24" s="1232">
        <f t="shared" si="3"/>
        <v>2500</v>
      </c>
      <c r="N24" s="1240"/>
      <c r="O24" s="1240">
        <v>2500</v>
      </c>
      <c r="P24" s="1240"/>
      <c r="Q24" s="1240"/>
      <c r="R24" s="1240"/>
      <c r="S24" s="1240"/>
      <c r="T24" s="1240"/>
      <c r="U24" s="1240"/>
      <c r="V24" s="1240"/>
      <c r="W24" s="1240"/>
      <c r="X24" s="1240"/>
      <c r="Y24" s="1240"/>
    </row>
    <row r="25" spans="1:25">
      <c r="B25" s="1090"/>
      <c r="C25" s="1091" t="s">
        <v>34</v>
      </c>
      <c r="D25" s="1432">
        <v>5</v>
      </c>
      <c r="E25" s="1087" t="s">
        <v>290</v>
      </c>
      <c r="F25" s="1232">
        <f t="shared" si="1"/>
        <v>5000</v>
      </c>
      <c r="G25" s="1232">
        <f t="shared" si="2"/>
        <v>0</v>
      </c>
      <c r="H25" s="1240"/>
      <c r="I25" s="1241"/>
      <c r="J25" s="1241"/>
      <c r="K25" s="1241"/>
      <c r="L25" s="1241"/>
      <c r="M25" s="1232">
        <f t="shared" si="3"/>
        <v>5000</v>
      </c>
      <c r="N25" s="1240"/>
      <c r="O25" s="1240">
        <v>5000</v>
      </c>
      <c r="P25" s="1240"/>
      <c r="Q25" s="1240"/>
      <c r="R25" s="1240"/>
      <c r="S25" s="1240"/>
      <c r="T25" s="1240"/>
      <c r="U25" s="1240"/>
      <c r="V25" s="1240"/>
      <c r="W25" s="1240"/>
      <c r="X25" s="1240"/>
      <c r="Y25" s="1240"/>
    </row>
    <row r="26" spans="1:25">
      <c r="B26" s="1090"/>
      <c r="C26" s="1091" t="s">
        <v>34</v>
      </c>
      <c r="D26" s="1432">
        <v>6</v>
      </c>
      <c r="E26" s="1087" t="s">
        <v>291</v>
      </c>
      <c r="F26" s="1232">
        <f t="shared" si="1"/>
        <v>10875.5</v>
      </c>
      <c r="G26" s="1232">
        <f t="shared" si="2"/>
        <v>8400</v>
      </c>
      <c r="H26" s="1240">
        <v>8400</v>
      </c>
      <c r="I26" s="1241"/>
      <c r="J26" s="1241"/>
      <c r="K26" s="1241"/>
      <c r="L26" s="1241"/>
      <c r="M26" s="1232">
        <f t="shared" si="3"/>
        <v>2475.5</v>
      </c>
      <c r="N26" s="1240"/>
      <c r="O26" s="1240">
        <v>2475.5</v>
      </c>
      <c r="P26" s="1240"/>
      <c r="Q26" s="1240"/>
      <c r="R26" s="1240"/>
      <c r="S26" s="1240"/>
      <c r="T26" s="1240"/>
      <c r="U26" s="1240"/>
      <c r="V26" s="1240"/>
      <c r="W26" s="1240"/>
      <c r="X26" s="1240"/>
      <c r="Y26" s="1240"/>
    </row>
    <row r="27" spans="1:25">
      <c r="B27" s="1090"/>
      <c r="C27" s="1091" t="s">
        <v>34</v>
      </c>
      <c r="D27" s="1432">
        <v>7</v>
      </c>
      <c r="E27" s="1087" t="s">
        <v>92</v>
      </c>
      <c r="F27" s="1232">
        <f t="shared" si="1"/>
        <v>0</v>
      </c>
      <c r="G27" s="1232">
        <f t="shared" si="2"/>
        <v>0</v>
      </c>
      <c r="H27" s="1245"/>
      <c r="I27" s="1246"/>
      <c r="J27" s="1246"/>
      <c r="K27" s="1246"/>
      <c r="L27" s="1246"/>
      <c r="M27" s="1232">
        <f t="shared" si="3"/>
        <v>0</v>
      </c>
      <c r="N27" s="1245"/>
      <c r="O27" s="1245"/>
      <c r="P27" s="1245"/>
      <c r="Q27" s="1245"/>
      <c r="R27" s="1245"/>
      <c r="S27" s="1245"/>
      <c r="T27" s="1245"/>
      <c r="U27" s="1245"/>
      <c r="V27" s="1245"/>
      <c r="W27" s="1245"/>
      <c r="X27" s="1245"/>
      <c r="Y27" s="1245"/>
    </row>
    <row r="28" spans="1:25" ht="24">
      <c r="B28" s="1090"/>
      <c r="C28" s="1091" t="s">
        <v>34</v>
      </c>
      <c r="D28" s="1432">
        <v>8</v>
      </c>
      <c r="E28" s="1086" t="s">
        <v>641</v>
      </c>
      <c r="F28" s="1232">
        <f t="shared" si="1"/>
        <v>0</v>
      </c>
      <c r="G28" s="1232">
        <f t="shared" si="2"/>
        <v>0</v>
      </c>
      <c r="H28" s="1245"/>
      <c r="I28" s="1246"/>
      <c r="J28" s="1246"/>
      <c r="K28" s="1246"/>
      <c r="L28" s="1246"/>
      <c r="M28" s="1232">
        <f t="shared" si="3"/>
        <v>0</v>
      </c>
      <c r="N28" s="1245"/>
      <c r="O28" s="1245"/>
      <c r="P28" s="1245"/>
      <c r="Q28" s="1245"/>
      <c r="R28" s="1245"/>
      <c r="S28" s="1245"/>
      <c r="T28" s="1245"/>
      <c r="U28" s="1245"/>
      <c r="V28" s="1245"/>
      <c r="W28" s="1245"/>
      <c r="X28" s="1245"/>
      <c r="Y28" s="1245"/>
    </row>
    <row r="29" spans="1:25" ht="24">
      <c r="B29" s="1090"/>
      <c r="C29" s="1091" t="s">
        <v>34</v>
      </c>
      <c r="D29" s="1432">
        <v>9</v>
      </c>
      <c r="E29" s="1087" t="s">
        <v>521</v>
      </c>
      <c r="F29" s="1232">
        <f t="shared" si="1"/>
        <v>0</v>
      </c>
      <c r="G29" s="1232">
        <f t="shared" si="2"/>
        <v>0</v>
      </c>
      <c r="H29" s="1245"/>
      <c r="I29" s="1246"/>
      <c r="J29" s="1246"/>
      <c r="K29" s="1246"/>
      <c r="L29" s="1246"/>
      <c r="M29" s="1232">
        <f t="shared" si="3"/>
        <v>0</v>
      </c>
      <c r="N29" s="1245"/>
      <c r="O29" s="1245"/>
      <c r="P29" s="1245"/>
      <c r="Q29" s="1245"/>
      <c r="R29" s="1245"/>
      <c r="S29" s="1245"/>
      <c r="T29" s="1245"/>
      <c r="U29" s="1245"/>
      <c r="V29" s="1245"/>
      <c r="W29" s="1245"/>
      <c r="X29" s="1245"/>
      <c r="Y29" s="1245"/>
    </row>
    <row r="30" spans="1:25" s="1078" customFormat="1" ht="36">
      <c r="A30" s="1078" t="s">
        <v>809</v>
      </c>
      <c r="B30" s="1079" t="s">
        <v>581</v>
      </c>
      <c r="C30" s="1080" t="s">
        <v>34</v>
      </c>
      <c r="D30" s="1431"/>
      <c r="E30" s="1081" t="s">
        <v>223</v>
      </c>
      <c r="F30" s="1235">
        <f t="shared" si="1"/>
        <v>149550</v>
      </c>
      <c r="G30" s="1235">
        <f t="shared" si="2"/>
        <v>30000</v>
      </c>
      <c r="H30" s="1236">
        <f>SUM(H31:H32)</f>
        <v>30000</v>
      </c>
      <c r="I30" s="1237">
        <f>SUM(I31:I32)</f>
        <v>0</v>
      </c>
      <c r="J30" s="1237">
        <f>SUM(J31:J32)</f>
        <v>0</v>
      </c>
      <c r="K30" s="1237">
        <f>SUM(K31:K32)</f>
        <v>0</v>
      </c>
      <c r="L30" s="1237">
        <f>SUM(L31:L32)</f>
        <v>0</v>
      </c>
      <c r="M30" s="1235">
        <f t="shared" si="3"/>
        <v>119550</v>
      </c>
      <c r="N30" s="1236">
        <f t="shared" ref="N30:Y30" si="8">SUM(N31:N32)</f>
        <v>0</v>
      </c>
      <c r="O30" s="1236">
        <f t="shared" si="8"/>
        <v>0</v>
      </c>
      <c r="P30" s="1236">
        <f t="shared" si="8"/>
        <v>0</v>
      </c>
      <c r="Q30" s="1236">
        <f t="shared" si="8"/>
        <v>0</v>
      </c>
      <c r="R30" s="1236">
        <f t="shared" si="8"/>
        <v>119550</v>
      </c>
      <c r="S30" s="1236">
        <f t="shared" si="8"/>
        <v>0</v>
      </c>
      <c r="T30" s="1236">
        <f t="shared" si="8"/>
        <v>0</v>
      </c>
      <c r="U30" s="1236">
        <f t="shared" si="8"/>
        <v>0</v>
      </c>
      <c r="V30" s="1236">
        <f t="shared" si="8"/>
        <v>0</v>
      </c>
      <c r="W30" s="1236">
        <f t="shared" si="8"/>
        <v>0</v>
      </c>
      <c r="X30" s="1236">
        <f t="shared" si="8"/>
        <v>0</v>
      </c>
      <c r="Y30" s="1236">
        <f t="shared" si="8"/>
        <v>0</v>
      </c>
    </row>
    <row r="31" spans="1:25" s="1088" customFormat="1" ht="96">
      <c r="B31" s="1092"/>
      <c r="C31" s="1084" t="s">
        <v>34</v>
      </c>
      <c r="D31" s="1203">
        <v>1</v>
      </c>
      <c r="E31" s="1085" t="s">
        <v>321</v>
      </c>
      <c r="F31" s="1232">
        <f t="shared" si="1"/>
        <v>12900</v>
      </c>
      <c r="G31" s="1232">
        <f t="shared" si="2"/>
        <v>10000</v>
      </c>
      <c r="H31" s="1247">
        <v>10000</v>
      </c>
      <c r="I31" s="1241"/>
      <c r="J31" s="1241"/>
      <c r="K31" s="1241"/>
      <c r="L31" s="1241"/>
      <c r="M31" s="1232">
        <f t="shared" si="3"/>
        <v>2900</v>
      </c>
      <c r="N31" s="1238"/>
      <c r="O31" s="1238"/>
      <c r="P31" s="1238"/>
      <c r="Q31" s="1238"/>
      <c r="R31" s="1247">
        <v>2900</v>
      </c>
      <c r="S31" s="1238"/>
      <c r="T31" s="1238"/>
      <c r="U31" s="1238"/>
      <c r="V31" s="1238"/>
      <c r="W31" s="1240"/>
      <c r="X31" s="1238"/>
      <c r="Y31" s="1238"/>
    </row>
    <row r="32" spans="1:25" s="1088" customFormat="1" ht="60">
      <c r="B32" s="1092"/>
      <c r="C32" s="1084" t="s">
        <v>34</v>
      </c>
      <c r="D32" s="1203">
        <v>2</v>
      </c>
      <c r="E32" s="1085" t="s">
        <v>618</v>
      </c>
      <c r="F32" s="1232">
        <f t="shared" si="1"/>
        <v>136650</v>
      </c>
      <c r="G32" s="1232">
        <f t="shared" si="2"/>
        <v>20000</v>
      </c>
      <c r="H32" s="1247">
        <v>20000</v>
      </c>
      <c r="I32" s="1241"/>
      <c r="J32" s="1241"/>
      <c r="K32" s="1241"/>
      <c r="L32" s="1241"/>
      <c r="M32" s="1232">
        <f t="shared" si="3"/>
        <v>116650</v>
      </c>
      <c r="N32" s="1238"/>
      <c r="O32" s="1238"/>
      <c r="P32" s="1238"/>
      <c r="Q32" s="1238"/>
      <c r="R32" s="1247">
        <v>116650</v>
      </c>
      <c r="S32" s="1238"/>
      <c r="T32" s="1238"/>
      <c r="U32" s="1238"/>
      <c r="V32" s="1238"/>
      <c r="W32" s="1240"/>
      <c r="X32" s="1238"/>
      <c r="Y32" s="1238"/>
    </row>
    <row r="33" spans="1:25" s="1075" customFormat="1" ht="36">
      <c r="A33" s="1075">
        <v>2</v>
      </c>
      <c r="B33" s="1093">
        <v>2</v>
      </c>
      <c r="C33" s="1077" t="s">
        <v>34</v>
      </c>
      <c r="D33" s="1303"/>
      <c r="E33" s="1286" t="s">
        <v>234</v>
      </c>
      <c r="F33" s="1249">
        <f t="shared" si="1"/>
        <v>4179066.3459999999</v>
      </c>
      <c r="G33" s="1249">
        <f t="shared" si="2"/>
        <v>1297680</v>
      </c>
      <c r="H33" s="1233">
        <f>H34+H46+H54+H65</f>
        <v>1297680</v>
      </c>
      <c r="I33" s="1233">
        <f>I34+I46+I54+I65</f>
        <v>0</v>
      </c>
      <c r="J33" s="1233">
        <f>J34+J46+J54+J65</f>
        <v>0</v>
      </c>
      <c r="K33" s="1233">
        <f>K34+K46+K54+K65</f>
        <v>0</v>
      </c>
      <c r="L33" s="1233">
        <f>L34+L46+L54+L65</f>
        <v>0</v>
      </c>
      <c r="M33" s="1249">
        <f t="shared" si="3"/>
        <v>2881386.3459999999</v>
      </c>
      <c r="N33" s="1233">
        <f t="shared" ref="N33:Y33" si="9">N34+N46+N54+N65</f>
        <v>493343</v>
      </c>
      <c r="O33" s="1233">
        <f t="shared" si="9"/>
        <v>66340</v>
      </c>
      <c r="P33" s="1233">
        <f t="shared" si="9"/>
        <v>71002</v>
      </c>
      <c r="Q33" s="1233">
        <f t="shared" si="9"/>
        <v>242975</v>
      </c>
      <c r="R33" s="1233">
        <f t="shared" si="9"/>
        <v>407340</v>
      </c>
      <c r="S33" s="1233">
        <f t="shared" si="9"/>
        <v>62503</v>
      </c>
      <c r="T33" s="1233">
        <f t="shared" si="9"/>
        <v>446366.34600000002</v>
      </c>
      <c r="U33" s="1233">
        <f t="shared" si="9"/>
        <v>301702</v>
      </c>
      <c r="V33" s="1233">
        <f t="shared" si="9"/>
        <v>222285</v>
      </c>
      <c r="W33" s="1233">
        <f t="shared" si="9"/>
        <v>180990</v>
      </c>
      <c r="X33" s="1233">
        <f t="shared" si="9"/>
        <v>188730</v>
      </c>
      <c r="Y33" s="1233">
        <f t="shared" si="9"/>
        <v>197810</v>
      </c>
    </row>
    <row r="34" spans="1:25" s="1078" customFormat="1" ht="24">
      <c r="A34" s="1078" t="s">
        <v>806</v>
      </c>
      <c r="B34" s="1094" t="s">
        <v>251</v>
      </c>
      <c r="C34" s="1080" t="s">
        <v>34</v>
      </c>
      <c r="D34" s="1431"/>
      <c r="E34" s="1290" t="s">
        <v>18</v>
      </c>
      <c r="F34" s="1235">
        <f t="shared" si="1"/>
        <v>1223839.3459999999</v>
      </c>
      <c r="G34" s="1235">
        <f t="shared" si="2"/>
        <v>492700</v>
      </c>
      <c r="H34" s="1236">
        <f>SUM(H35:H45)</f>
        <v>492700</v>
      </c>
      <c r="I34" s="1237">
        <f>SUM(I35:I45)</f>
        <v>0</v>
      </c>
      <c r="J34" s="1237">
        <f>SUM(J35:J45)</f>
        <v>0</v>
      </c>
      <c r="K34" s="1237">
        <f>SUM(K35:K45)</f>
        <v>0</v>
      </c>
      <c r="L34" s="1237">
        <f>SUM(L35:L45)</f>
        <v>0</v>
      </c>
      <c r="M34" s="1235">
        <f t="shared" si="3"/>
        <v>731139.34600000002</v>
      </c>
      <c r="N34" s="1236">
        <f t="shared" ref="N34:Y34" si="10">SUM(N35:N45)</f>
        <v>449686</v>
      </c>
      <c r="O34" s="1236">
        <f t="shared" si="10"/>
        <v>15862</v>
      </c>
      <c r="P34" s="1236">
        <f t="shared" si="10"/>
        <v>22965</v>
      </c>
      <c r="Q34" s="1236">
        <f t="shared" si="10"/>
        <v>6800</v>
      </c>
      <c r="R34" s="1236">
        <f t="shared" si="10"/>
        <v>152180</v>
      </c>
      <c r="S34" s="1236">
        <f t="shared" si="10"/>
        <v>1470</v>
      </c>
      <c r="T34" s="1236">
        <f t="shared" si="10"/>
        <v>11656.346</v>
      </c>
      <c r="U34" s="1236">
        <f t="shared" si="10"/>
        <v>3340</v>
      </c>
      <c r="V34" s="1236">
        <f t="shared" si="10"/>
        <v>22200</v>
      </c>
      <c r="W34" s="1236">
        <f t="shared" si="10"/>
        <v>15350</v>
      </c>
      <c r="X34" s="1236">
        <f t="shared" si="10"/>
        <v>2400</v>
      </c>
      <c r="Y34" s="1236">
        <f t="shared" si="10"/>
        <v>27230</v>
      </c>
    </row>
    <row r="35" spans="1:25" s="1088" customFormat="1" ht="36">
      <c r="B35" s="1092"/>
      <c r="C35" s="1084" t="s">
        <v>34</v>
      </c>
      <c r="D35" s="1203">
        <v>1</v>
      </c>
      <c r="E35" s="1097" t="s">
        <v>388</v>
      </c>
      <c r="F35" s="1232">
        <f t="shared" si="1"/>
        <v>50000</v>
      </c>
      <c r="G35" s="1232">
        <f t="shared" si="2"/>
        <v>30000</v>
      </c>
      <c r="H35" s="1238">
        <v>30000</v>
      </c>
      <c r="I35" s="1239"/>
      <c r="J35" s="1239"/>
      <c r="K35" s="1239"/>
      <c r="L35" s="1239"/>
      <c r="M35" s="1232">
        <f t="shared" si="3"/>
        <v>20000</v>
      </c>
      <c r="N35" s="1238"/>
      <c r="O35" s="1238"/>
      <c r="P35" s="1238"/>
      <c r="Q35" s="1238"/>
      <c r="R35" s="1238">
        <v>20000</v>
      </c>
      <c r="S35" s="1238"/>
      <c r="T35" s="1238"/>
      <c r="U35" s="1238"/>
      <c r="V35" s="1238"/>
      <c r="W35" s="1238"/>
      <c r="X35" s="1238"/>
      <c r="Y35" s="1238"/>
    </row>
    <row r="36" spans="1:25" s="1088" customFormat="1" ht="60">
      <c r="B36" s="1092"/>
      <c r="C36" s="1084" t="s">
        <v>34</v>
      </c>
      <c r="D36" s="1203">
        <v>2</v>
      </c>
      <c r="E36" s="1097" t="s">
        <v>35</v>
      </c>
      <c r="F36" s="1232">
        <f t="shared" si="1"/>
        <v>93580</v>
      </c>
      <c r="G36" s="1232">
        <f t="shared" si="2"/>
        <v>17700</v>
      </c>
      <c r="H36" s="1240">
        <v>17700</v>
      </c>
      <c r="I36" s="1239"/>
      <c r="J36" s="1239"/>
      <c r="K36" s="1239"/>
      <c r="L36" s="1239"/>
      <c r="M36" s="1232">
        <f t="shared" si="3"/>
        <v>75880</v>
      </c>
      <c r="N36" s="1240">
        <v>10360</v>
      </c>
      <c r="O36" s="1240">
        <v>6600</v>
      </c>
      <c r="P36" s="1240">
        <v>20740</v>
      </c>
      <c r="Q36" s="1240">
        <v>4800</v>
      </c>
      <c r="R36" s="1240">
        <v>2180</v>
      </c>
      <c r="S36" s="1240">
        <v>1470</v>
      </c>
      <c r="T36" s="1240">
        <v>7300</v>
      </c>
      <c r="U36" s="1240">
        <v>1620</v>
      </c>
      <c r="V36" s="1240">
        <v>12760</v>
      </c>
      <c r="W36" s="1240">
        <v>3350</v>
      </c>
      <c r="X36" s="1240">
        <v>2400</v>
      </c>
      <c r="Y36" s="1240">
        <v>2300</v>
      </c>
    </row>
    <row r="37" spans="1:25" s="1088" customFormat="1" ht="36">
      <c r="B37" s="1092"/>
      <c r="C37" s="1084" t="s">
        <v>34</v>
      </c>
      <c r="D37" s="1203">
        <v>3</v>
      </c>
      <c r="E37" s="1097" t="s">
        <v>855</v>
      </c>
      <c r="F37" s="1232">
        <f t="shared" si="1"/>
        <v>8800</v>
      </c>
      <c r="G37" s="1232">
        <f t="shared" si="2"/>
        <v>5000</v>
      </c>
      <c r="H37" s="1240">
        <v>5000</v>
      </c>
      <c r="I37" s="1239"/>
      <c r="J37" s="1239"/>
      <c r="K37" s="1239"/>
      <c r="L37" s="1239"/>
      <c r="M37" s="1232">
        <f t="shared" si="3"/>
        <v>3800</v>
      </c>
      <c r="N37" s="1240"/>
      <c r="O37" s="1240">
        <v>1800</v>
      </c>
      <c r="P37" s="1240"/>
      <c r="Q37" s="1240"/>
      <c r="R37" s="1240"/>
      <c r="S37" s="1240"/>
      <c r="T37" s="1240"/>
      <c r="U37" s="1240"/>
      <c r="V37" s="1240"/>
      <c r="W37" s="1240"/>
      <c r="X37" s="1240"/>
      <c r="Y37" s="1240">
        <v>2000</v>
      </c>
    </row>
    <row r="38" spans="1:25" s="1088" customFormat="1" ht="24">
      <c r="B38" s="1092"/>
      <c r="C38" s="1084" t="s">
        <v>34</v>
      </c>
      <c r="D38" s="1203">
        <v>4</v>
      </c>
      <c r="E38" s="1097" t="s">
        <v>43</v>
      </c>
      <c r="F38" s="1232">
        <f t="shared" si="1"/>
        <v>1200</v>
      </c>
      <c r="G38" s="1232">
        <f t="shared" si="2"/>
        <v>0</v>
      </c>
      <c r="H38" s="1240"/>
      <c r="I38" s="1239"/>
      <c r="J38" s="1239"/>
      <c r="K38" s="1239"/>
      <c r="L38" s="1239"/>
      <c r="M38" s="1232">
        <f t="shared" si="3"/>
        <v>1200</v>
      </c>
      <c r="N38" s="1240"/>
      <c r="O38" s="1240">
        <v>1200</v>
      </c>
      <c r="P38" s="1240"/>
      <c r="Q38" s="1240"/>
      <c r="R38" s="1240"/>
      <c r="S38" s="1240"/>
      <c r="T38" s="1240"/>
      <c r="U38" s="1240"/>
      <c r="V38" s="1240"/>
      <c r="W38" s="1240"/>
      <c r="X38" s="1240"/>
      <c r="Y38" s="1240"/>
    </row>
    <row r="39" spans="1:25" s="1088" customFormat="1" ht="36">
      <c r="B39" s="1092"/>
      <c r="C39" s="1084" t="s">
        <v>34</v>
      </c>
      <c r="D39" s="1203">
        <v>5</v>
      </c>
      <c r="E39" s="1287" t="s">
        <v>630</v>
      </c>
      <c r="F39" s="1232">
        <f t="shared" si="1"/>
        <v>8060</v>
      </c>
      <c r="G39" s="1232">
        <f t="shared" si="2"/>
        <v>0</v>
      </c>
      <c r="H39" s="1240"/>
      <c r="I39" s="1239"/>
      <c r="J39" s="1239"/>
      <c r="K39" s="1239"/>
      <c r="L39" s="1239"/>
      <c r="M39" s="1232">
        <f t="shared" si="3"/>
        <v>8060</v>
      </c>
      <c r="N39" s="1240">
        <v>558</v>
      </c>
      <c r="O39" s="1240">
        <v>62</v>
      </c>
      <c r="P39" s="1240"/>
      <c r="Q39" s="1240"/>
      <c r="R39" s="1240"/>
      <c r="S39" s="1240"/>
      <c r="T39" s="1240"/>
      <c r="U39" s="1240"/>
      <c r="V39" s="1240">
        <v>7440</v>
      </c>
      <c r="W39" s="1240"/>
      <c r="X39" s="1240"/>
      <c r="Y39" s="1240"/>
    </row>
    <row r="40" spans="1:25" s="1088" customFormat="1" ht="36">
      <c r="B40" s="1092"/>
      <c r="C40" s="1084" t="s">
        <v>34</v>
      </c>
      <c r="D40" s="1203">
        <v>6</v>
      </c>
      <c r="E40" s="1102" t="s">
        <v>46</v>
      </c>
      <c r="F40" s="1232">
        <f t="shared" si="1"/>
        <v>101200</v>
      </c>
      <c r="G40" s="1232">
        <f t="shared" si="2"/>
        <v>0</v>
      </c>
      <c r="H40" s="1240"/>
      <c r="I40" s="1239"/>
      <c r="J40" s="1239"/>
      <c r="K40" s="1239"/>
      <c r="L40" s="1239"/>
      <c r="M40" s="1232">
        <f t="shared" si="3"/>
        <v>101200</v>
      </c>
      <c r="N40" s="1240"/>
      <c r="O40" s="1240">
        <v>1200</v>
      </c>
      <c r="P40" s="1240"/>
      <c r="Q40" s="1240"/>
      <c r="R40" s="1240">
        <v>100000</v>
      </c>
      <c r="S40" s="1240"/>
      <c r="T40" s="1240"/>
      <c r="U40" s="1240"/>
      <c r="V40" s="1240"/>
      <c r="W40" s="1240"/>
      <c r="X40" s="1240"/>
      <c r="Y40" s="1240"/>
    </row>
    <row r="41" spans="1:25" s="1088" customFormat="1" ht="36">
      <c r="B41" s="1092"/>
      <c r="C41" s="1084" t="s">
        <v>34</v>
      </c>
      <c r="D41" s="1203">
        <v>7</v>
      </c>
      <c r="E41" s="1104" t="s">
        <v>49</v>
      </c>
      <c r="F41" s="1232">
        <f t="shared" si="1"/>
        <v>21245</v>
      </c>
      <c r="G41" s="1232">
        <f t="shared" si="2"/>
        <v>5000</v>
      </c>
      <c r="H41" s="1240">
        <v>5000</v>
      </c>
      <c r="I41" s="1239"/>
      <c r="J41" s="1239"/>
      <c r="K41" s="1239"/>
      <c r="L41" s="1239"/>
      <c r="M41" s="1232">
        <f t="shared" si="3"/>
        <v>16245</v>
      </c>
      <c r="N41" s="1240"/>
      <c r="O41" s="1240">
        <v>3300</v>
      </c>
      <c r="P41" s="1240">
        <v>2225</v>
      </c>
      <c r="Q41" s="1240"/>
      <c r="R41" s="1240"/>
      <c r="S41" s="1240"/>
      <c r="T41" s="1240"/>
      <c r="U41" s="1240">
        <v>1720</v>
      </c>
      <c r="V41" s="1240"/>
      <c r="W41" s="1240">
        <f>9000</f>
        <v>9000</v>
      </c>
      <c r="X41" s="1240"/>
      <c r="Y41" s="1240"/>
    </row>
    <row r="42" spans="1:25" s="1088" customFormat="1" ht="36">
      <c r="B42" s="1092"/>
      <c r="C42" s="1084" t="s">
        <v>34</v>
      </c>
      <c r="D42" s="1203">
        <v>8</v>
      </c>
      <c r="E42" s="1105" t="s">
        <v>209</v>
      </c>
      <c r="F42" s="1232">
        <f t="shared" si="1"/>
        <v>31200</v>
      </c>
      <c r="G42" s="1232">
        <f t="shared" si="2"/>
        <v>0</v>
      </c>
      <c r="H42" s="1240"/>
      <c r="I42" s="1239"/>
      <c r="J42" s="1239"/>
      <c r="K42" s="1239"/>
      <c r="L42" s="1239"/>
      <c r="M42" s="1232">
        <f t="shared" si="3"/>
        <v>31200</v>
      </c>
      <c r="N42" s="1240"/>
      <c r="O42" s="1240">
        <v>1200</v>
      </c>
      <c r="P42" s="1240"/>
      <c r="Q42" s="1240"/>
      <c r="R42" s="1240">
        <v>30000</v>
      </c>
      <c r="S42" s="1240"/>
      <c r="T42" s="1240"/>
      <c r="U42" s="1240"/>
      <c r="V42" s="1240"/>
      <c r="W42" s="1240"/>
      <c r="X42" s="1240"/>
      <c r="Y42" s="1240"/>
    </row>
    <row r="43" spans="1:25" s="1088" customFormat="1">
      <c r="B43" s="1092"/>
      <c r="C43" s="1084" t="s">
        <v>34</v>
      </c>
      <c r="D43" s="1203">
        <v>9</v>
      </c>
      <c r="E43" s="1085" t="s">
        <v>290</v>
      </c>
      <c r="F43" s="1232">
        <f t="shared" ref="F43:F74" si="11">G43+M43</f>
        <v>35911</v>
      </c>
      <c r="G43" s="1232">
        <f t="shared" ref="G43:G74" si="12">SUM(H43:L43)</f>
        <v>35000</v>
      </c>
      <c r="H43" s="1240">
        <v>35000</v>
      </c>
      <c r="I43" s="1239"/>
      <c r="J43" s="1239"/>
      <c r="K43" s="1239"/>
      <c r="L43" s="1239"/>
      <c r="M43" s="1232">
        <f t="shared" ref="M43:M74" si="13">SUM(N43:Y43)</f>
        <v>911</v>
      </c>
      <c r="N43" s="1240">
        <v>911</v>
      </c>
      <c r="O43" s="1240"/>
      <c r="P43" s="1240"/>
      <c r="Q43" s="1240"/>
      <c r="R43" s="1240"/>
      <c r="S43" s="1240"/>
      <c r="T43" s="1240"/>
      <c r="U43" s="1240"/>
      <c r="V43" s="1240"/>
      <c r="W43" s="1240"/>
      <c r="X43" s="1240"/>
      <c r="Y43" s="1240"/>
    </row>
    <row r="44" spans="1:25" s="1088" customFormat="1">
      <c r="B44" s="1092"/>
      <c r="C44" s="1084" t="s">
        <v>34</v>
      </c>
      <c r="D44" s="1203">
        <v>10</v>
      </c>
      <c r="E44" s="1085" t="s">
        <v>292</v>
      </c>
      <c r="F44" s="1232">
        <f t="shared" si="11"/>
        <v>813734</v>
      </c>
      <c r="G44" s="1232">
        <f t="shared" si="12"/>
        <v>400000</v>
      </c>
      <c r="H44" s="1240">
        <v>400000</v>
      </c>
      <c r="I44" s="1239"/>
      <c r="J44" s="1239"/>
      <c r="K44" s="1239"/>
      <c r="L44" s="1239"/>
      <c r="M44" s="1232">
        <f t="shared" si="13"/>
        <v>413734</v>
      </c>
      <c r="N44" s="1240">
        <v>413734</v>
      </c>
      <c r="O44" s="1240"/>
      <c r="P44" s="1240"/>
      <c r="Q44" s="1240"/>
      <c r="R44" s="1238"/>
      <c r="S44" s="1240"/>
      <c r="T44" s="1240"/>
      <c r="U44" s="1240"/>
      <c r="V44" s="1240"/>
      <c r="W44" s="1240"/>
      <c r="X44" s="1240"/>
      <c r="Y44" s="1240"/>
    </row>
    <row r="45" spans="1:25" s="1088" customFormat="1">
      <c r="B45" s="1092"/>
      <c r="C45" s="1084" t="s">
        <v>34</v>
      </c>
      <c r="D45" s="1203">
        <v>11</v>
      </c>
      <c r="E45" s="1085" t="s">
        <v>291</v>
      </c>
      <c r="F45" s="1232">
        <f t="shared" si="11"/>
        <v>58909.345999999998</v>
      </c>
      <c r="G45" s="1232">
        <f t="shared" si="12"/>
        <v>0</v>
      </c>
      <c r="H45" s="1240"/>
      <c r="I45" s="1239"/>
      <c r="J45" s="1239"/>
      <c r="K45" s="1239"/>
      <c r="L45" s="1239"/>
      <c r="M45" s="1232">
        <f t="shared" si="13"/>
        <v>58909.345999999998</v>
      </c>
      <c r="N45" s="1240">
        <v>24123</v>
      </c>
      <c r="O45" s="1240">
        <v>500</v>
      </c>
      <c r="P45" s="1240"/>
      <c r="Q45" s="1240">
        <v>2000</v>
      </c>
      <c r="R45" s="1238"/>
      <c r="S45" s="1240"/>
      <c r="T45" s="1240">
        <v>4356.3459999999995</v>
      </c>
      <c r="U45" s="1240"/>
      <c r="V45" s="1240">
        <v>2000</v>
      </c>
      <c r="W45" s="1240">
        <v>3000</v>
      </c>
      <c r="X45" s="1240"/>
      <c r="Y45" s="1240">
        <v>22930</v>
      </c>
    </row>
    <row r="46" spans="1:25" s="1078" customFormat="1" ht="24">
      <c r="A46" s="1078" t="s">
        <v>807</v>
      </c>
      <c r="B46" s="1107" t="s">
        <v>252</v>
      </c>
      <c r="C46" s="1080" t="s">
        <v>34</v>
      </c>
      <c r="D46" s="1431"/>
      <c r="E46" s="1290" t="s">
        <v>19</v>
      </c>
      <c r="F46" s="1235">
        <f t="shared" si="11"/>
        <v>325582</v>
      </c>
      <c r="G46" s="1235">
        <f t="shared" si="12"/>
        <v>235200</v>
      </c>
      <c r="H46" s="1236">
        <f>SUM(H47:H53)</f>
        <v>235200</v>
      </c>
      <c r="I46" s="1237">
        <f>SUM(I47:I53)</f>
        <v>0</v>
      </c>
      <c r="J46" s="1237">
        <f>SUM(J47:J53)</f>
        <v>0</v>
      </c>
      <c r="K46" s="1237">
        <f>SUM(K47:K53)</f>
        <v>0</v>
      </c>
      <c r="L46" s="1237">
        <f>SUM(L47:L53)</f>
        <v>0</v>
      </c>
      <c r="M46" s="1235">
        <f t="shared" si="13"/>
        <v>90382</v>
      </c>
      <c r="N46" s="1236">
        <f t="shared" ref="N46:Y46" si="14">SUM(N47:N53)</f>
        <v>17000</v>
      </c>
      <c r="O46" s="1236">
        <f t="shared" si="14"/>
        <v>2500</v>
      </c>
      <c r="P46" s="1236">
        <f t="shared" si="14"/>
        <v>6220</v>
      </c>
      <c r="Q46" s="1236">
        <f t="shared" si="14"/>
        <v>23000</v>
      </c>
      <c r="R46" s="1236">
        <f t="shared" si="14"/>
        <v>4380</v>
      </c>
      <c r="S46" s="1236">
        <f t="shared" si="14"/>
        <v>1120</v>
      </c>
      <c r="T46" s="1236">
        <f t="shared" si="14"/>
        <v>8100</v>
      </c>
      <c r="U46" s="1236">
        <f t="shared" si="14"/>
        <v>7452</v>
      </c>
      <c r="V46" s="1236">
        <f t="shared" si="14"/>
        <v>12700</v>
      </c>
      <c r="W46" s="1236">
        <f t="shared" si="14"/>
        <v>3100</v>
      </c>
      <c r="X46" s="1236">
        <f t="shared" si="14"/>
        <v>2160</v>
      </c>
      <c r="Y46" s="1236">
        <f t="shared" si="14"/>
        <v>2650</v>
      </c>
    </row>
    <row r="47" spans="1:25" s="1078" customFormat="1" ht="24" customHeight="1">
      <c r="B47" s="1108"/>
      <c r="C47" s="1091" t="s">
        <v>34</v>
      </c>
      <c r="D47" s="1432">
        <v>1</v>
      </c>
      <c r="E47" s="1105" t="s">
        <v>211</v>
      </c>
      <c r="F47" s="1232">
        <f t="shared" si="11"/>
        <v>73040</v>
      </c>
      <c r="G47" s="1232">
        <f t="shared" si="12"/>
        <v>4200</v>
      </c>
      <c r="H47" s="1238">
        <v>4200</v>
      </c>
      <c r="I47" s="1239"/>
      <c r="J47" s="1239"/>
      <c r="K47" s="1239"/>
      <c r="L47" s="1239"/>
      <c r="M47" s="1232">
        <f t="shared" si="13"/>
        <v>68840</v>
      </c>
      <c r="N47" s="1238">
        <v>17000</v>
      </c>
      <c r="O47" s="1238">
        <v>2500</v>
      </c>
      <c r="P47" s="1238">
        <v>1220</v>
      </c>
      <c r="Q47" s="1238">
        <v>18000</v>
      </c>
      <c r="R47" s="1238">
        <v>1880</v>
      </c>
      <c r="S47" s="1238">
        <v>1120</v>
      </c>
      <c r="T47" s="1238">
        <v>4100</v>
      </c>
      <c r="U47" s="1238">
        <v>2660</v>
      </c>
      <c r="V47" s="1238">
        <v>12450</v>
      </c>
      <c r="W47" s="1238">
        <v>3100</v>
      </c>
      <c r="X47" s="1238">
        <v>2160</v>
      </c>
      <c r="Y47" s="1238">
        <v>2650</v>
      </c>
    </row>
    <row r="48" spans="1:25">
      <c r="B48" s="1108"/>
      <c r="C48" s="1091" t="s">
        <v>34</v>
      </c>
      <c r="D48" s="1432">
        <v>2</v>
      </c>
      <c r="E48" s="1110" t="s">
        <v>53</v>
      </c>
      <c r="F48" s="1232">
        <f t="shared" si="11"/>
        <v>17750</v>
      </c>
      <c r="G48" s="1232">
        <f t="shared" si="12"/>
        <v>1000</v>
      </c>
      <c r="H48" s="1244">
        <v>1000</v>
      </c>
      <c r="I48" s="1239"/>
      <c r="J48" s="1239"/>
      <c r="K48" s="1239"/>
      <c r="L48" s="1239"/>
      <c r="M48" s="1232">
        <f t="shared" si="13"/>
        <v>16750</v>
      </c>
      <c r="N48" s="1240"/>
      <c r="O48" s="1238"/>
      <c r="P48" s="1244">
        <v>5000</v>
      </c>
      <c r="Q48" s="1244">
        <v>5000</v>
      </c>
      <c r="R48" s="1244">
        <v>2500</v>
      </c>
      <c r="S48" s="1244"/>
      <c r="T48" s="1244">
        <v>4000</v>
      </c>
      <c r="U48" s="1244"/>
      <c r="V48" s="1244">
        <v>250</v>
      </c>
      <c r="W48" s="1244"/>
      <c r="X48" s="1244"/>
      <c r="Y48" s="1244"/>
    </row>
    <row r="49" spans="1:25">
      <c r="B49" s="1108"/>
      <c r="C49" s="1091" t="s">
        <v>34</v>
      </c>
      <c r="D49" s="1432">
        <v>3</v>
      </c>
      <c r="E49" s="1087" t="s">
        <v>398</v>
      </c>
      <c r="F49" s="1232">
        <f t="shared" si="11"/>
        <v>20000</v>
      </c>
      <c r="G49" s="1232">
        <f t="shared" si="12"/>
        <v>20000</v>
      </c>
      <c r="H49" s="1244">
        <v>20000</v>
      </c>
      <c r="I49" s="1239"/>
      <c r="J49" s="1239"/>
      <c r="K49" s="1239"/>
      <c r="L49" s="1239"/>
      <c r="M49" s="1232">
        <f t="shared" si="13"/>
        <v>0</v>
      </c>
      <c r="N49" s="1240"/>
      <c r="O49" s="1238"/>
      <c r="P49" s="1244"/>
      <c r="Q49" s="1244"/>
      <c r="R49" s="1244"/>
      <c r="S49" s="1244"/>
      <c r="T49" s="1244"/>
      <c r="U49" s="1244"/>
      <c r="V49" s="1244"/>
      <c r="W49" s="1244"/>
      <c r="X49" s="1244"/>
      <c r="Y49" s="1244"/>
    </row>
    <row r="50" spans="1:25">
      <c r="B50" s="1108"/>
      <c r="C50" s="1091" t="s">
        <v>34</v>
      </c>
      <c r="D50" s="1432">
        <v>4</v>
      </c>
      <c r="E50" s="1087" t="s">
        <v>292</v>
      </c>
      <c r="F50" s="1232">
        <f t="shared" si="11"/>
        <v>60000</v>
      </c>
      <c r="G50" s="1232">
        <f t="shared" si="12"/>
        <v>60000</v>
      </c>
      <c r="H50" s="1244">
        <v>60000</v>
      </c>
      <c r="I50" s="1253"/>
      <c r="J50" s="1253"/>
      <c r="K50" s="1253"/>
      <c r="L50" s="1253"/>
      <c r="M50" s="1232">
        <f t="shared" si="13"/>
        <v>0</v>
      </c>
      <c r="N50" s="1244"/>
      <c r="O50" s="1254"/>
      <c r="P50" s="1244"/>
      <c r="Q50" s="1244"/>
      <c r="R50" s="1244"/>
      <c r="S50" s="1244"/>
      <c r="T50" s="1244"/>
      <c r="U50" s="1244"/>
      <c r="V50" s="1244"/>
      <c r="W50" s="1244"/>
      <c r="X50" s="1244"/>
      <c r="Y50" s="1244"/>
    </row>
    <row r="51" spans="1:25" ht="36">
      <c r="B51" s="1108"/>
      <c r="C51" s="1091" t="s">
        <v>34</v>
      </c>
      <c r="D51" s="1432">
        <v>5</v>
      </c>
      <c r="E51" s="1087" t="s">
        <v>399</v>
      </c>
      <c r="F51" s="1232">
        <f t="shared" si="11"/>
        <v>50000</v>
      </c>
      <c r="G51" s="1232">
        <f t="shared" si="12"/>
        <v>50000</v>
      </c>
      <c r="H51" s="1244">
        <v>50000</v>
      </c>
      <c r="I51" s="1253"/>
      <c r="J51" s="1253"/>
      <c r="K51" s="1253"/>
      <c r="L51" s="1253"/>
      <c r="M51" s="1232">
        <f t="shared" si="13"/>
        <v>0</v>
      </c>
      <c r="N51" s="1244"/>
      <c r="O51" s="1254"/>
      <c r="P51" s="1244"/>
      <c r="Q51" s="1244"/>
      <c r="R51" s="1244"/>
      <c r="S51" s="1244"/>
      <c r="T51" s="1244"/>
      <c r="U51" s="1244"/>
      <c r="V51" s="1244"/>
      <c r="W51" s="1244"/>
      <c r="X51" s="1244"/>
      <c r="Y51" s="1244"/>
    </row>
    <row r="52" spans="1:25" ht="24">
      <c r="B52" s="1108"/>
      <c r="C52" s="1091" t="s">
        <v>34</v>
      </c>
      <c r="D52" s="1432">
        <v>6</v>
      </c>
      <c r="E52" s="1087" t="s">
        <v>501</v>
      </c>
      <c r="F52" s="1232">
        <f t="shared" si="11"/>
        <v>54792</v>
      </c>
      <c r="G52" s="1232">
        <f t="shared" si="12"/>
        <v>50000</v>
      </c>
      <c r="H52" s="1244">
        <v>50000</v>
      </c>
      <c r="I52" s="1253"/>
      <c r="J52" s="1253"/>
      <c r="K52" s="1253"/>
      <c r="L52" s="1253"/>
      <c r="M52" s="1232">
        <f t="shared" si="13"/>
        <v>4792</v>
      </c>
      <c r="N52" s="1244"/>
      <c r="O52" s="1254"/>
      <c r="P52" s="1244"/>
      <c r="Q52" s="1244"/>
      <c r="R52" s="1244"/>
      <c r="S52" s="1244"/>
      <c r="T52" s="1244"/>
      <c r="U52" s="1244">
        <v>4792</v>
      </c>
      <c r="V52" s="1244"/>
      <c r="W52" s="1244"/>
      <c r="X52" s="1244"/>
      <c r="Y52" s="1244"/>
    </row>
    <row r="53" spans="1:25">
      <c r="B53" s="1108"/>
      <c r="C53" s="1091" t="s">
        <v>34</v>
      </c>
      <c r="D53" s="1432">
        <v>7</v>
      </c>
      <c r="E53" s="1087" t="s">
        <v>400</v>
      </c>
      <c r="F53" s="1232">
        <f t="shared" si="11"/>
        <v>50000</v>
      </c>
      <c r="G53" s="1232">
        <f t="shared" si="12"/>
        <v>50000</v>
      </c>
      <c r="H53" s="1244">
        <v>50000</v>
      </c>
      <c r="I53" s="1239"/>
      <c r="J53" s="1239"/>
      <c r="K53" s="1239"/>
      <c r="L53" s="1239"/>
      <c r="M53" s="1232">
        <f t="shared" si="13"/>
        <v>0</v>
      </c>
      <c r="N53" s="1240"/>
      <c r="O53" s="1238"/>
      <c r="P53" s="1238"/>
      <c r="Q53" s="1244"/>
      <c r="R53" s="1244"/>
      <c r="S53" s="1244"/>
      <c r="T53" s="1244"/>
      <c r="U53" s="1244"/>
      <c r="V53" s="1244"/>
      <c r="W53" s="1238"/>
      <c r="X53" s="1244"/>
      <c r="Y53" s="1238"/>
    </row>
    <row r="54" spans="1:25" s="1078" customFormat="1" ht="24">
      <c r="A54" s="1078" t="s">
        <v>808</v>
      </c>
      <c r="B54" s="1094" t="s">
        <v>253</v>
      </c>
      <c r="C54" s="1080" t="s">
        <v>34</v>
      </c>
      <c r="D54" s="1431"/>
      <c r="E54" s="1290" t="s">
        <v>20</v>
      </c>
      <c r="F54" s="1235">
        <f t="shared" si="11"/>
        <v>338548</v>
      </c>
      <c r="G54" s="1235">
        <f t="shared" si="12"/>
        <v>109780</v>
      </c>
      <c r="H54" s="1236">
        <f>SUM(H55:H64)</f>
        <v>109780</v>
      </c>
      <c r="I54" s="1237">
        <f>SUM(I55:I64)</f>
        <v>0</v>
      </c>
      <c r="J54" s="1237">
        <f>SUM(J55:J64)</f>
        <v>0</v>
      </c>
      <c r="K54" s="1237">
        <f>SUM(K55:K64)</f>
        <v>0</v>
      </c>
      <c r="L54" s="1237">
        <f>SUM(L55:L64)</f>
        <v>0</v>
      </c>
      <c r="M54" s="1235">
        <f t="shared" si="13"/>
        <v>228768</v>
      </c>
      <c r="N54" s="1236">
        <f t="shared" ref="N54:Y54" si="15">SUM(N55:N64)</f>
        <v>16683</v>
      </c>
      <c r="O54" s="1236">
        <f t="shared" si="15"/>
        <v>15978</v>
      </c>
      <c r="P54" s="1236">
        <f t="shared" si="15"/>
        <v>8259</v>
      </c>
      <c r="Q54" s="1236">
        <f t="shared" si="15"/>
        <v>21600</v>
      </c>
      <c r="R54" s="1236">
        <f t="shared" si="15"/>
        <v>14080</v>
      </c>
      <c r="S54" s="1236">
        <f t="shared" si="15"/>
        <v>12388</v>
      </c>
      <c r="T54" s="1236">
        <f t="shared" si="15"/>
        <v>19960</v>
      </c>
      <c r="U54" s="1236">
        <f t="shared" si="15"/>
        <v>33270</v>
      </c>
      <c r="V54" s="1236">
        <f t="shared" si="15"/>
        <v>37500</v>
      </c>
      <c r="W54" s="1236">
        <f t="shared" si="15"/>
        <v>5000</v>
      </c>
      <c r="X54" s="1236">
        <f t="shared" si="15"/>
        <v>16800</v>
      </c>
      <c r="Y54" s="1236">
        <f t="shared" si="15"/>
        <v>27250</v>
      </c>
    </row>
    <row r="55" spans="1:25">
      <c r="B55" s="1111"/>
      <c r="C55" s="1084" t="s">
        <v>34</v>
      </c>
      <c r="D55" s="1203">
        <v>1</v>
      </c>
      <c r="E55" s="1112" t="s">
        <v>60</v>
      </c>
      <c r="F55" s="1232">
        <f t="shared" si="11"/>
        <v>10000</v>
      </c>
      <c r="G55" s="1232">
        <f t="shared" si="12"/>
        <v>10000</v>
      </c>
      <c r="H55" s="1245">
        <v>10000</v>
      </c>
      <c r="I55" s="1239"/>
      <c r="J55" s="1239"/>
      <c r="K55" s="1239"/>
      <c r="L55" s="1239"/>
      <c r="M55" s="1232">
        <f t="shared" si="13"/>
        <v>0</v>
      </c>
      <c r="N55" s="1251"/>
      <c r="O55" s="1238">
        <v>0</v>
      </c>
      <c r="P55" s="1244"/>
      <c r="Q55" s="1244"/>
      <c r="R55" s="1244">
        <v>0</v>
      </c>
      <c r="S55" s="1244"/>
      <c r="T55" s="1244"/>
      <c r="U55" s="1244"/>
      <c r="V55" s="1244">
        <v>0</v>
      </c>
      <c r="W55" s="1244"/>
      <c r="X55" s="1244"/>
      <c r="Y55" s="1240">
        <v>0</v>
      </c>
    </row>
    <row r="56" spans="1:25">
      <c r="B56" s="1111"/>
      <c r="C56" s="1084" t="s">
        <v>34</v>
      </c>
      <c r="D56" s="1203">
        <v>2</v>
      </c>
      <c r="E56" s="1112" t="s">
        <v>63</v>
      </c>
      <c r="F56" s="1232">
        <f t="shared" si="11"/>
        <v>128628</v>
      </c>
      <c r="G56" s="1232">
        <f t="shared" si="12"/>
        <v>69760</v>
      </c>
      <c r="H56" s="1245">
        <v>69760</v>
      </c>
      <c r="I56" s="1239"/>
      <c r="J56" s="1239"/>
      <c r="K56" s="1239"/>
      <c r="L56" s="1239"/>
      <c r="M56" s="1232">
        <f t="shared" si="13"/>
        <v>58868</v>
      </c>
      <c r="N56" s="1240"/>
      <c r="O56" s="1238">
        <v>7578</v>
      </c>
      <c r="P56" s="1244">
        <v>1180</v>
      </c>
      <c r="Q56" s="1244">
        <v>2600</v>
      </c>
      <c r="R56" s="1244">
        <v>2200</v>
      </c>
      <c r="S56" s="1244">
        <v>1440</v>
      </c>
      <c r="T56" s="1244">
        <v>2960</v>
      </c>
      <c r="U56" s="1244">
        <v>16260</v>
      </c>
      <c r="V56" s="1244">
        <v>18000</v>
      </c>
      <c r="W56" s="1244"/>
      <c r="X56" s="1244">
        <v>4800</v>
      </c>
      <c r="Y56" s="1240">
        <v>1850</v>
      </c>
    </row>
    <row r="57" spans="1:25">
      <c r="B57" s="1111"/>
      <c r="C57" s="1084" t="s">
        <v>34</v>
      </c>
      <c r="D57" s="1203">
        <v>3</v>
      </c>
      <c r="E57" s="1112" t="s">
        <v>64</v>
      </c>
      <c r="F57" s="1232">
        <f t="shared" si="11"/>
        <v>5000</v>
      </c>
      <c r="G57" s="1232">
        <f t="shared" si="12"/>
        <v>5000</v>
      </c>
      <c r="H57" s="1245">
        <v>5000</v>
      </c>
      <c r="I57" s="1239"/>
      <c r="J57" s="1239"/>
      <c r="K57" s="1239"/>
      <c r="L57" s="1239"/>
      <c r="M57" s="1232">
        <f t="shared" si="13"/>
        <v>0</v>
      </c>
      <c r="N57" s="1240"/>
      <c r="O57" s="1238"/>
      <c r="P57" s="1244"/>
      <c r="Q57" s="1244"/>
      <c r="R57" s="1244">
        <v>0</v>
      </c>
      <c r="S57" s="1244"/>
      <c r="T57" s="1244"/>
      <c r="U57" s="1244"/>
      <c r="V57" s="1244">
        <v>0</v>
      </c>
      <c r="W57" s="1244"/>
      <c r="X57" s="1244"/>
      <c r="Y57" s="1240">
        <v>0</v>
      </c>
    </row>
    <row r="58" spans="1:25">
      <c r="B58" s="1111"/>
      <c r="C58" s="1084" t="s">
        <v>34</v>
      </c>
      <c r="D58" s="1203">
        <v>4</v>
      </c>
      <c r="E58" s="1113" t="s">
        <v>65</v>
      </c>
      <c r="F58" s="1232">
        <f t="shared" si="11"/>
        <v>19200</v>
      </c>
      <c r="G58" s="1232">
        <f t="shared" si="12"/>
        <v>0</v>
      </c>
      <c r="H58" s="1245"/>
      <c r="I58" s="1239"/>
      <c r="J58" s="1239"/>
      <c r="K58" s="1239"/>
      <c r="L58" s="1239"/>
      <c r="M58" s="1232">
        <f t="shared" si="13"/>
        <v>19200</v>
      </c>
      <c r="N58" s="1255"/>
      <c r="O58" s="1238">
        <v>0</v>
      </c>
      <c r="P58" s="1245"/>
      <c r="Q58" s="1245"/>
      <c r="R58" s="1245">
        <v>0</v>
      </c>
      <c r="S58" s="1245"/>
      <c r="T58" s="1245"/>
      <c r="U58" s="1245"/>
      <c r="V58" s="1245">
        <v>0</v>
      </c>
      <c r="W58" s="1245"/>
      <c r="X58" s="1245"/>
      <c r="Y58" s="1255">
        <v>19200</v>
      </c>
    </row>
    <row r="59" spans="1:25">
      <c r="B59" s="1111"/>
      <c r="C59" s="1084" t="s">
        <v>34</v>
      </c>
      <c r="D59" s="1203">
        <v>5</v>
      </c>
      <c r="E59" s="1113" t="s">
        <v>231</v>
      </c>
      <c r="F59" s="1232">
        <f t="shared" si="11"/>
        <v>20639</v>
      </c>
      <c r="G59" s="1232">
        <f t="shared" si="12"/>
        <v>0</v>
      </c>
      <c r="H59" s="1245"/>
      <c r="I59" s="1239"/>
      <c r="J59" s="1239"/>
      <c r="K59" s="1239"/>
      <c r="L59" s="1239"/>
      <c r="M59" s="1232">
        <f t="shared" si="13"/>
        <v>20639</v>
      </c>
      <c r="N59" s="1255">
        <v>530</v>
      </c>
      <c r="O59" s="1238">
        <v>1200</v>
      </c>
      <c r="P59" s="1256">
        <v>1079</v>
      </c>
      <c r="Q59" s="1245">
        <v>5000</v>
      </c>
      <c r="R59" s="1245">
        <v>0</v>
      </c>
      <c r="S59" s="1245"/>
      <c r="T59" s="1245">
        <v>5000</v>
      </c>
      <c r="U59" s="1245">
        <v>330</v>
      </c>
      <c r="V59" s="1245">
        <v>7500</v>
      </c>
      <c r="W59" s="1245"/>
      <c r="X59" s="1245"/>
      <c r="Y59" s="1255">
        <v>0</v>
      </c>
    </row>
    <row r="60" spans="1:25" ht="24">
      <c r="B60" s="1111"/>
      <c r="C60" s="1084" t="s">
        <v>34</v>
      </c>
      <c r="D60" s="1203">
        <v>6</v>
      </c>
      <c r="E60" s="1113" t="s">
        <v>67</v>
      </c>
      <c r="F60" s="1232">
        <f t="shared" si="11"/>
        <v>15000</v>
      </c>
      <c r="G60" s="1232">
        <f t="shared" si="12"/>
        <v>0</v>
      </c>
      <c r="H60" s="1245"/>
      <c r="I60" s="1239"/>
      <c r="J60" s="1239"/>
      <c r="K60" s="1239"/>
      <c r="L60" s="1239"/>
      <c r="M60" s="1232">
        <f t="shared" si="13"/>
        <v>15000</v>
      </c>
      <c r="N60" s="1255"/>
      <c r="O60" s="1238">
        <v>1000</v>
      </c>
      <c r="P60" s="1245"/>
      <c r="Q60" s="1245">
        <v>5000</v>
      </c>
      <c r="R60" s="1244">
        <v>9000</v>
      </c>
      <c r="S60" s="1245"/>
      <c r="T60" s="1245"/>
      <c r="U60" s="1245"/>
      <c r="V60" s="1245">
        <v>0</v>
      </c>
      <c r="W60" s="1245"/>
      <c r="X60" s="1245"/>
      <c r="Y60" s="1255">
        <v>0</v>
      </c>
    </row>
    <row r="61" spans="1:25" ht="108">
      <c r="B61" s="1111"/>
      <c r="C61" s="1084" t="s">
        <v>34</v>
      </c>
      <c r="D61" s="1203">
        <v>7</v>
      </c>
      <c r="E61" s="1113" t="s">
        <v>425</v>
      </c>
      <c r="F61" s="1232">
        <f t="shared" si="11"/>
        <v>26250</v>
      </c>
      <c r="G61" s="1232">
        <f t="shared" si="12"/>
        <v>13200</v>
      </c>
      <c r="H61" s="1245">
        <f>13200</f>
        <v>13200</v>
      </c>
      <c r="I61" s="1239"/>
      <c r="J61" s="1239"/>
      <c r="K61" s="1239"/>
      <c r="L61" s="1239"/>
      <c r="M61" s="1232">
        <f t="shared" si="13"/>
        <v>13050</v>
      </c>
      <c r="N61" s="1255">
        <v>10050</v>
      </c>
      <c r="O61" s="1238">
        <v>0</v>
      </c>
      <c r="P61" s="1245"/>
      <c r="Q61" s="1245">
        <v>3000</v>
      </c>
      <c r="R61" s="1244"/>
      <c r="S61" s="1245"/>
      <c r="T61" s="1245"/>
      <c r="U61" s="1245"/>
      <c r="V61" s="1245">
        <v>0</v>
      </c>
      <c r="W61" s="1245"/>
      <c r="X61" s="1245"/>
      <c r="Y61" s="1255">
        <v>0</v>
      </c>
    </row>
    <row r="62" spans="1:25">
      <c r="B62" s="1111"/>
      <c r="C62" s="1084" t="s">
        <v>34</v>
      </c>
      <c r="D62" s="1203">
        <v>8</v>
      </c>
      <c r="E62" s="1087" t="s">
        <v>290</v>
      </c>
      <c r="F62" s="1232">
        <f t="shared" si="11"/>
        <v>4948</v>
      </c>
      <c r="G62" s="1232">
        <f t="shared" si="12"/>
        <v>0</v>
      </c>
      <c r="H62" s="1245"/>
      <c r="I62" s="1239"/>
      <c r="J62" s="1239"/>
      <c r="K62" s="1239"/>
      <c r="L62" s="1239"/>
      <c r="M62" s="1232">
        <f t="shared" si="13"/>
        <v>4948</v>
      </c>
      <c r="N62" s="1255"/>
      <c r="O62" s="1238"/>
      <c r="P62" s="1245"/>
      <c r="Q62" s="1245"/>
      <c r="R62" s="1244"/>
      <c r="S62" s="1245">
        <v>4948</v>
      </c>
      <c r="T62" s="1245"/>
      <c r="U62" s="1245"/>
      <c r="V62" s="1245"/>
      <c r="W62" s="1245"/>
      <c r="X62" s="1245"/>
      <c r="Y62" s="1255"/>
    </row>
    <row r="63" spans="1:25">
      <c r="B63" s="1111"/>
      <c r="C63" s="1084" t="s">
        <v>34</v>
      </c>
      <c r="D63" s="1203">
        <v>9</v>
      </c>
      <c r="E63" s="1087" t="s">
        <v>292</v>
      </c>
      <c r="F63" s="1232">
        <f t="shared" si="11"/>
        <v>91483</v>
      </c>
      <c r="G63" s="1232">
        <f t="shared" si="12"/>
        <v>0</v>
      </c>
      <c r="H63" s="1245"/>
      <c r="I63" s="1239"/>
      <c r="J63" s="1239"/>
      <c r="K63" s="1239"/>
      <c r="L63" s="1239"/>
      <c r="M63" s="1232">
        <f t="shared" si="13"/>
        <v>91483</v>
      </c>
      <c r="N63" s="1255">
        <v>6103</v>
      </c>
      <c r="O63" s="1238">
        <v>6200</v>
      </c>
      <c r="P63" s="1245">
        <v>6000</v>
      </c>
      <c r="Q63" s="1245">
        <v>6000</v>
      </c>
      <c r="R63" s="1244">
        <v>2880</v>
      </c>
      <c r="S63" s="1245">
        <v>6000</v>
      </c>
      <c r="T63" s="1245">
        <v>12000</v>
      </c>
      <c r="U63" s="1245">
        <v>11100</v>
      </c>
      <c r="V63" s="1245">
        <v>12000</v>
      </c>
      <c r="W63" s="1245">
        <v>5000</v>
      </c>
      <c r="X63" s="1245">
        <v>12000</v>
      </c>
      <c r="Y63" s="1255">
        <v>6200</v>
      </c>
    </row>
    <row r="64" spans="1:25">
      <c r="B64" s="1111"/>
      <c r="C64" s="1084" t="s">
        <v>34</v>
      </c>
      <c r="D64" s="1203">
        <v>10</v>
      </c>
      <c r="E64" s="1087" t="s">
        <v>291</v>
      </c>
      <c r="F64" s="1232">
        <f t="shared" si="11"/>
        <v>17400</v>
      </c>
      <c r="G64" s="1232">
        <f t="shared" si="12"/>
        <v>11820</v>
      </c>
      <c r="H64" s="1245">
        <f>6460+5360</f>
        <v>11820</v>
      </c>
      <c r="I64" s="1239"/>
      <c r="J64" s="1239"/>
      <c r="K64" s="1239"/>
      <c r="L64" s="1239"/>
      <c r="M64" s="1232">
        <f t="shared" si="13"/>
        <v>5580</v>
      </c>
      <c r="N64" s="1255"/>
      <c r="O64" s="1238"/>
      <c r="P64" s="1245"/>
      <c r="Q64" s="1245"/>
      <c r="R64" s="1244"/>
      <c r="S64" s="1245"/>
      <c r="T64" s="1245"/>
      <c r="U64" s="1245">
        <v>5580</v>
      </c>
      <c r="V64" s="1245"/>
      <c r="W64" s="1245"/>
      <c r="X64" s="1245"/>
      <c r="Y64" s="1255"/>
    </row>
    <row r="65" spans="1:25" s="1078" customFormat="1" ht="24">
      <c r="A65" s="1078" t="s">
        <v>809</v>
      </c>
      <c r="B65" s="1094" t="s">
        <v>254</v>
      </c>
      <c r="C65" s="1080" t="s">
        <v>34</v>
      </c>
      <c r="D65" s="1431"/>
      <c r="E65" s="1290" t="s">
        <v>21</v>
      </c>
      <c r="F65" s="1232">
        <f t="shared" si="11"/>
        <v>2291097</v>
      </c>
      <c r="G65" s="1232">
        <f t="shared" si="12"/>
        <v>460000</v>
      </c>
      <c r="H65" s="1236">
        <f>SUM(H66:H84)</f>
        <v>460000</v>
      </c>
      <c r="I65" s="1237">
        <f>SUM(I66:I84)</f>
        <v>0</v>
      </c>
      <c r="J65" s="1237">
        <f>SUM(J66:J84)</f>
        <v>0</v>
      </c>
      <c r="K65" s="1237">
        <f>SUM(K66:K84)</f>
        <v>0</v>
      </c>
      <c r="L65" s="1237">
        <f>SUM(L66:L84)</f>
        <v>0</v>
      </c>
      <c r="M65" s="1232">
        <f t="shared" si="13"/>
        <v>1831097</v>
      </c>
      <c r="N65" s="1236">
        <f t="shared" ref="N65:Y65" si="16">SUM(N66:N84)</f>
        <v>9974</v>
      </c>
      <c r="O65" s="1236">
        <f t="shared" si="16"/>
        <v>32000</v>
      </c>
      <c r="P65" s="1236">
        <f t="shared" si="16"/>
        <v>33558</v>
      </c>
      <c r="Q65" s="1236">
        <f t="shared" si="16"/>
        <v>191575</v>
      </c>
      <c r="R65" s="1236">
        <f t="shared" si="16"/>
        <v>236700</v>
      </c>
      <c r="S65" s="1236">
        <f t="shared" si="16"/>
        <v>47525</v>
      </c>
      <c r="T65" s="1236">
        <f t="shared" si="16"/>
        <v>406650</v>
      </c>
      <c r="U65" s="1236">
        <f t="shared" si="16"/>
        <v>257640</v>
      </c>
      <c r="V65" s="1236">
        <f t="shared" si="16"/>
        <v>149885</v>
      </c>
      <c r="W65" s="1236">
        <f t="shared" si="16"/>
        <v>157540</v>
      </c>
      <c r="X65" s="1236">
        <f t="shared" si="16"/>
        <v>167370</v>
      </c>
      <c r="Y65" s="1236">
        <f t="shared" si="16"/>
        <v>140680</v>
      </c>
    </row>
    <row r="66" spans="1:25">
      <c r="B66" s="1108"/>
      <c r="C66" s="1084" t="s">
        <v>34</v>
      </c>
      <c r="D66" s="1203">
        <v>1</v>
      </c>
      <c r="E66" s="1288" t="s">
        <v>68</v>
      </c>
      <c r="F66" s="1232">
        <f t="shared" si="11"/>
        <v>318220</v>
      </c>
      <c r="G66" s="1232">
        <f t="shared" si="12"/>
        <v>115000</v>
      </c>
      <c r="H66" s="1254">
        <v>115000</v>
      </c>
      <c r="I66" s="1253"/>
      <c r="J66" s="1253"/>
      <c r="K66" s="1253"/>
      <c r="L66" s="1253"/>
      <c r="M66" s="1232">
        <f t="shared" si="13"/>
        <v>203220</v>
      </c>
      <c r="N66" s="1254">
        <v>9800</v>
      </c>
      <c r="O66" s="1254">
        <v>17000</v>
      </c>
      <c r="P66" s="1254">
        <v>1180</v>
      </c>
      <c r="Q66" s="1254">
        <v>23900</v>
      </c>
      <c r="R66" s="1254">
        <v>37820</v>
      </c>
      <c r="S66" s="1254">
        <v>1260</v>
      </c>
      <c r="T66" s="1254">
        <v>42900</v>
      </c>
      <c r="U66" s="1254">
        <v>38340</v>
      </c>
      <c r="V66" s="1254"/>
      <c r="W66" s="1254">
        <v>9040</v>
      </c>
      <c r="X66" s="1254">
        <v>8690</v>
      </c>
      <c r="Y66" s="1254">
        <v>13290</v>
      </c>
    </row>
    <row r="67" spans="1:25">
      <c r="B67" s="1108"/>
      <c r="C67" s="1084" t="s">
        <v>34</v>
      </c>
      <c r="D67" s="1203">
        <v>2</v>
      </c>
      <c r="E67" s="1288" t="s">
        <v>70</v>
      </c>
      <c r="F67" s="1232">
        <f t="shared" si="11"/>
        <v>12400</v>
      </c>
      <c r="G67" s="1232">
        <f t="shared" si="12"/>
        <v>0</v>
      </c>
      <c r="H67" s="1244"/>
      <c r="I67" s="1239"/>
      <c r="J67" s="1239"/>
      <c r="K67" s="1239"/>
      <c r="L67" s="1239"/>
      <c r="M67" s="1232">
        <f t="shared" si="13"/>
        <v>12400</v>
      </c>
      <c r="N67" s="1255"/>
      <c r="O67" s="1238">
        <v>1500</v>
      </c>
      <c r="P67" s="1245">
        <v>200</v>
      </c>
      <c r="Q67" s="1245">
        <v>2000</v>
      </c>
      <c r="R67" s="1245">
        <v>5000</v>
      </c>
      <c r="S67" s="1245"/>
      <c r="T67" s="1244"/>
      <c r="U67" s="1245"/>
      <c r="V67" s="1245"/>
      <c r="W67" s="1245">
        <v>1500</v>
      </c>
      <c r="X67" s="1254"/>
      <c r="Y67" s="1255">
        <v>2200</v>
      </c>
    </row>
    <row r="68" spans="1:25" ht="24">
      <c r="B68" s="1108"/>
      <c r="C68" s="1084" t="s">
        <v>34</v>
      </c>
      <c r="D68" s="1203">
        <v>3</v>
      </c>
      <c r="E68" s="1113" t="s">
        <v>523</v>
      </c>
      <c r="F68" s="1232">
        <f t="shared" si="11"/>
        <v>10000</v>
      </c>
      <c r="G68" s="1232">
        <f t="shared" si="12"/>
        <v>10000</v>
      </c>
      <c r="H68" s="1244">
        <v>10000</v>
      </c>
      <c r="I68" s="1239"/>
      <c r="J68" s="1239"/>
      <c r="K68" s="1239"/>
      <c r="L68" s="1239"/>
      <c r="M68" s="1232">
        <f t="shared" si="13"/>
        <v>0</v>
      </c>
      <c r="N68" s="1255"/>
      <c r="O68" s="1238"/>
      <c r="P68" s="1245"/>
      <c r="Q68" s="1245"/>
      <c r="R68" s="1245"/>
      <c r="S68" s="1245"/>
      <c r="T68" s="1244"/>
      <c r="U68" s="1245"/>
      <c r="V68" s="1245"/>
      <c r="W68" s="1245"/>
      <c r="X68" s="1245"/>
      <c r="Y68" s="1255"/>
    </row>
    <row r="69" spans="1:25" ht="24">
      <c r="B69" s="1108"/>
      <c r="C69" s="1084" t="s">
        <v>34</v>
      </c>
      <c r="D69" s="1203">
        <v>4</v>
      </c>
      <c r="E69" s="1113" t="s">
        <v>524</v>
      </c>
      <c r="F69" s="1232">
        <f t="shared" si="11"/>
        <v>190806</v>
      </c>
      <c r="G69" s="1232">
        <f t="shared" si="12"/>
        <v>0</v>
      </c>
      <c r="H69" s="1244"/>
      <c r="I69" s="1239"/>
      <c r="J69" s="1239"/>
      <c r="K69" s="1239"/>
      <c r="L69" s="1239"/>
      <c r="M69" s="1232">
        <f t="shared" si="13"/>
        <v>190806</v>
      </c>
      <c r="N69" s="1255"/>
      <c r="O69" s="1238">
        <v>4000</v>
      </c>
      <c r="P69" s="1245">
        <v>300</v>
      </c>
      <c r="Q69" s="1245">
        <v>28800</v>
      </c>
      <c r="R69" s="1244">
        <v>6400</v>
      </c>
      <c r="S69" s="1245">
        <v>8121</v>
      </c>
      <c r="T69" s="1244">
        <v>7680</v>
      </c>
      <c r="U69" s="1245">
        <v>15000</v>
      </c>
      <c r="V69" s="1245">
        <v>16520</v>
      </c>
      <c r="W69" s="1245">
        <f>37400-7655</f>
        <v>29745</v>
      </c>
      <c r="X69" s="1245">
        <v>52000</v>
      </c>
      <c r="Y69" s="1255">
        <v>22240</v>
      </c>
    </row>
    <row r="70" spans="1:25">
      <c r="B70" s="1108"/>
      <c r="C70" s="1084" t="s">
        <v>34</v>
      </c>
      <c r="D70" s="1203">
        <v>5</v>
      </c>
      <c r="E70" s="1288" t="s">
        <v>60</v>
      </c>
      <c r="F70" s="1232">
        <f t="shared" si="11"/>
        <v>25800</v>
      </c>
      <c r="G70" s="1232">
        <f t="shared" si="12"/>
        <v>5000</v>
      </c>
      <c r="H70" s="1244">
        <v>5000</v>
      </c>
      <c r="I70" s="1239"/>
      <c r="J70" s="1239"/>
      <c r="K70" s="1239"/>
      <c r="L70" s="1239"/>
      <c r="M70" s="1232">
        <f t="shared" si="13"/>
        <v>20800</v>
      </c>
      <c r="N70" s="1240"/>
      <c r="O70" s="1238"/>
      <c r="P70" s="1244">
        <v>500</v>
      </c>
      <c r="Q70" s="1244">
        <v>7800</v>
      </c>
      <c r="R70" s="1244"/>
      <c r="S70" s="1244"/>
      <c r="T70" s="1244">
        <v>12500</v>
      </c>
      <c r="U70" s="1244"/>
      <c r="V70" s="1244"/>
      <c r="W70" s="1244"/>
      <c r="X70" s="1244"/>
      <c r="Y70" s="1255"/>
    </row>
    <row r="71" spans="1:25" ht="48">
      <c r="B71" s="1108"/>
      <c r="C71" s="1084" t="s">
        <v>34</v>
      </c>
      <c r="D71" s="1203">
        <v>6</v>
      </c>
      <c r="E71" s="1113" t="s">
        <v>542</v>
      </c>
      <c r="F71" s="1232">
        <f t="shared" si="11"/>
        <v>105224</v>
      </c>
      <c r="G71" s="1232">
        <f t="shared" si="12"/>
        <v>0</v>
      </c>
      <c r="H71" s="1244"/>
      <c r="I71" s="1239"/>
      <c r="J71" s="1239"/>
      <c r="K71" s="1239"/>
      <c r="L71" s="1239"/>
      <c r="M71" s="1232">
        <f t="shared" si="13"/>
        <v>105224</v>
      </c>
      <c r="N71" s="1240">
        <v>174</v>
      </c>
      <c r="O71" s="1238">
        <v>1500</v>
      </c>
      <c r="P71" s="1252">
        <v>220</v>
      </c>
      <c r="Q71" s="1244">
        <v>12000</v>
      </c>
      <c r="R71" s="1244">
        <v>9000</v>
      </c>
      <c r="S71" s="1244"/>
      <c r="T71" s="1244">
        <v>29600</v>
      </c>
      <c r="U71" s="1244">
        <v>8800</v>
      </c>
      <c r="V71" s="1244">
        <v>15000</v>
      </c>
      <c r="W71" s="1244">
        <v>10300</v>
      </c>
      <c r="X71" s="1244">
        <v>12480</v>
      </c>
      <c r="Y71" s="1255">
        <v>6150</v>
      </c>
    </row>
    <row r="72" spans="1:25" ht="36">
      <c r="B72" s="1108"/>
      <c r="C72" s="1084" t="s">
        <v>34</v>
      </c>
      <c r="D72" s="1203">
        <v>7</v>
      </c>
      <c r="E72" s="1113" t="s">
        <v>543</v>
      </c>
      <c r="F72" s="1232">
        <f t="shared" si="11"/>
        <v>799120</v>
      </c>
      <c r="G72" s="1232">
        <f t="shared" si="12"/>
        <v>0</v>
      </c>
      <c r="H72" s="1254"/>
      <c r="I72" s="1253"/>
      <c r="J72" s="1253"/>
      <c r="K72" s="1253"/>
      <c r="L72" s="1253"/>
      <c r="M72" s="1232">
        <f t="shared" si="13"/>
        <v>799120</v>
      </c>
      <c r="N72" s="1254"/>
      <c r="O72" s="1254">
        <v>2500</v>
      </c>
      <c r="P72" s="1254">
        <v>20000</v>
      </c>
      <c r="Q72" s="1254">
        <v>80000</v>
      </c>
      <c r="R72" s="1254">
        <v>110000</v>
      </c>
      <c r="S72" s="1254">
        <v>9120</v>
      </c>
      <c r="T72" s="1254">
        <v>147000</v>
      </c>
      <c r="U72" s="1254">
        <v>162200</v>
      </c>
      <c r="V72" s="1254">
        <v>86000</v>
      </c>
      <c r="W72" s="1254">
        <v>64400</v>
      </c>
      <c r="X72" s="1254">
        <v>57600</v>
      </c>
      <c r="Y72" s="1254">
        <v>60300</v>
      </c>
    </row>
    <row r="73" spans="1:25" ht="24">
      <c r="B73" s="1108"/>
      <c r="C73" s="1084" t="s">
        <v>34</v>
      </c>
      <c r="D73" s="1203">
        <v>8</v>
      </c>
      <c r="E73" s="1190" t="s">
        <v>206</v>
      </c>
      <c r="F73" s="1232">
        <f t="shared" si="11"/>
        <v>119658</v>
      </c>
      <c r="G73" s="1232">
        <f t="shared" si="12"/>
        <v>0</v>
      </c>
      <c r="H73" s="1244"/>
      <c r="I73" s="1239"/>
      <c r="J73" s="1239"/>
      <c r="K73" s="1239"/>
      <c r="L73" s="1239"/>
      <c r="M73" s="1232">
        <f t="shared" si="13"/>
        <v>119658</v>
      </c>
      <c r="N73" s="1240"/>
      <c r="O73" s="1238">
        <v>1500</v>
      </c>
      <c r="P73" s="1244">
        <v>1158</v>
      </c>
      <c r="Q73" s="1244">
        <v>5000</v>
      </c>
      <c r="R73" s="1244"/>
      <c r="S73" s="1244"/>
      <c r="T73" s="1244">
        <v>24000</v>
      </c>
      <c r="U73" s="1244"/>
      <c r="V73" s="1244">
        <v>20000</v>
      </c>
      <c r="W73" s="1244">
        <v>24000</v>
      </c>
      <c r="X73" s="1244">
        <v>24000</v>
      </c>
      <c r="Y73" s="1255">
        <v>20000</v>
      </c>
    </row>
    <row r="74" spans="1:25" ht="24">
      <c r="B74" s="1108"/>
      <c r="C74" s="1084" t="s">
        <v>34</v>
      </c>
      <c r="D74" s="1203">
        <v>9</v>
      </c>
      <c r="E74" s="1113" t="s">
        <v>73</v>
      </c>
      <c r="F74" s="1232">
        <f t="shared" si="11"/>
        <v>77955</v>
      </c>
      <c r="G74" s="1232">
        <f t="shared" si="12"/>
        <v>15000</v>
      </c>
      <c r="H74" s="1244">
        <v>15000</v>
      </c>
      <c r="I74" s="1239"/>
      <c r="J74" s="1239"/>
      <c r="K74" s="1239"/>
      <c r="L74" s="1239"/>
      <c r="M74" s="1232">
        <f t="shared" si="13"/>
        <v>62955</v>
      </c>
      <c r="N74" s="1240"/>
      <c r="O74" s="1238">
        <v>2500</v>
      </c>
      <c r="P74" s="1244">
        <v>10000</v>
      </c>
      <c r="Q74" s="1244">
        <v>8000</v>
      </c>
      <c r="R74" s="1244">
        <v>3000</v>
      </c>
      <c r="S74" s="1244"/>
      <c r="T74" s="1244">
        <v>2000</v>
      </c>
      <c r="U74" s="1244">
        <v>5300</v>
      </c>
      <c r="V74" s="1244">
        <v>2000</v>
      </c>
      <c r="W74" s="1244">
        <f>7655+3000</f>
        <v>10655</v>
      </c>
      <c r="X74" s="1244">
        <v>3000</v>
      </c>
      <c r="Y74" s="1255">
        <v>16500</v>
      </c>
    </row>
    <row r="75" spans="1:25">
      <c r="B75" s="1108"/>
      <c r="C75" s="1084" t="s">
        <v>34</v>
      </c>
      <c r="D75" s="1203">
        <v>10</v>
      </c>
      <c r="E75" s="1085" t="s">
        <v>290</v>
      </c>
      <c r="F75" s="1232">
        <f t="shared" ref="F75:F116" si="17">G75+M75</f>
        <v>200000</v>
      </c>
      <c r="G75" s="1232">
        <f t="shared" ref="G75:G116" si="18">SUM(H75:L75)</f>
        <v>200000</v>
      </c>
      <c r="H75" s="1244">
        <v>200000</v>
      </c>
      <c r="I75" s="1239"/>
      <c r="J75" s="1239"/>
      <c r="K75" s="1239"/>
      <c r="L75" s="1239"/>
      <c r="M75" s="1232">
        <f t="shared" ref="M75:M116" si="19">SUM(N75:Y75)</f>
        <v>0</v>
      </c>
      <c r="N75" s="1238"/>
      <c r="O75" s="1238"/>
      <c r="P75" s="1238"/>
      <c r="Q75" s="1244"/>
      <c r="R75" s="1244"/>
      <c r="S75" s="1244"/>
      <c r="T75" s="1244"/>
      <c r="U75" s="1244"/>
      <c r="V75" s="1244"/>
      <c r="W75" s="1244"/>
      <c r="X75" s="1257"/>
      <c r="Y75" s="1255"/>
    </row>
    <row r="76" spans="1:25">
      <c r="B76" s="1108"/>
      <c r="C76" s="1084" t="s">
        <v>34</v>
      </c>
      <c r="D76" s="1203">
        <v>11</v>
      </c>
      <c r="E76" s="1085" t="s">
        <v>292</v>
      </c>
      <c r="F76" s="1232">
        <f t="shared" si="17"/>
        <v>12075</v>
      </c>
      <c r="G76" s="1232">
        <f t="shared" si="18"/>
        <v>0</v>
      </c>
      <c r="H76" s="1244"/>
      <c r="I76" s="1239"/>
      <c r="J76" s="1239"/>
      <c r="K76" s="1239"/>
      <c r="L76" s="1239"/>
      <c r="M76" s="1232">
        <f t="shared" si="19"/>
        <v>12075</v>
      </c>
      <c r="N76" s="1238"/>
      <c r="O76" s="1238"/>
      <c r="P76" s="1238"/>
      <c r="Q76" s="1244">
        <v>12075</v>
      </c>
      <c r="R76" s="1244"/>
      <c r="S76" s="1244"/>
      <c r="T76" s="1244"/>
      <c r="U76" s="1244"/>
      <c r="V76" s="1244"/>
      <c r="W76" s="1244"/>
      <c r="X76" s="1257"/>
      <c r="Y76" s="1255"/>
    </row>
    <row r="77" spans="1:25">
      <c r="B77" s="1108"/>
      <c r="C77" s="1084" t="s">
        <v>34</v>
      </c>
      <c r="D77" s="1203">
        <v>12</v>
      </c>
      <c r="E77" s="1085" t="s">
        <v>291</v>
      </c>
      <c r="F77" s="1232">
        <f t="shared" si="17"/>
        <v>63184</v>
      </c>
      <c r="G77" s="1232">
        <f t="shared" si="18"/>
        <v>0</v>
      </c>
      <c r="H77" s="1244"/>
      <c r="I77" s="1239"/>
      <c r="J77" s="1239"/>
      <c r="K77" s="1239"/>
      <c r="L77" s="1239"/>
      <c r="M77" s="1232">
        <f t="shared" si="19"/>
        <v>63184</v>
      </c>
      <c r="N77" s="1238"/>
      <c r="O77" s="1238">
        <v>1500</v>
      </c>
      <c r="P77" s="1238"/>
      <c r="Q77" s="1244">
        <v>12000</v>
      </c>
      <c r="R77" s="1244"/>
      <c r="S77" s="1244">
        <v>13924</v>
      </c>
      <c r="T77" s="1244">
        <v>5200</v>
      </c>
      <c r="U77" s="1244">
        <v>28000</v>
      </c>
      <c r="V77" s="1244">
        <v>2560</v>
      </c>
      <c r="W77" s="1244"/>
      <c r="X77" s="1257"/>
      <c r="Y77" s="1255"/>
    </row>
    <row r="78" spans="1:25">
      <c r="B78" s="1108"/>
      <c r="C78" s="1084" t="s">
        <v>34</v>
      </c>
      <c r="D78" s="1203">
        <v>13</v>
      </c>
      <c r="E78" s="1085" t="s">
        <v>525</v>
      </c>
      <c r="F78" s="1232">
        <f t="shared" si="17"/>
        <v>57000</v>
      </c>
      <c r="G78" s="1232">
        <f t="shared" si="18"/>
        <v>0</v>
      </c>
      <c r="H78" s="1244"/>
      <c r="I78" s="1239"/>
      <c r="J78" s="1239"/>
      <c r="K78" s="1239"/>
      <c r="L78" s="1239"/>
      <c r="M78" s="1232">
        <f t="shared" si="19"/>
        <v>57000</v>
      </c>
      <c r="N78" s="1238"/>
      <c r="O78" s="1238"/>
      <c r="P78" s="1238"/>
      <c r="Q78" s="1244"/>
      <c r="R78" s="1244"/>
      <c r="S78" s="1244"/>
      <c r="T78" s="1244">
        <v>57000</v>
      </c>
      <c r="U78" s="1244"/>
      <c r="V78" s="1244"/>
      <c r="W78" s="1244"/>
      <c r="X78" s="1257"/>
      <c r="Y78" s="1255"/>
    </row>
    <row r="79" spans="1:25" ht="36">
      <c r="B79" s="1108"/>
      <c r="C79" s="1084" t="s">
        <v>34</v>
      </c>
      <c r="D79" s="1203">
        <v>14</v>
      </c>
      <c r="E79" s="1085" t="s">
        <v>526</v>
      </c>
      <c r="F79" s="1232">
        <f t="shared" si="17"/>
        <v>23375</v>
      </c>
      <c r="G79" s="1232">
        <f t="shared" si="18"/>
        <v>0</v>
      </c>
      <c r="H79" s="1244"/>
      <c r="I79" s="1239"/>
      <c r="J79" s="1239"/>
      <c r="K79" s="1239"/>
      <c r="L79" s="1239"/>
      <c r="M79" s="1232">
        <f t="shared" si="19"/>
        <v>23375</v>
      </c>
      <c r="N79" s="1238"/>
      <c r="O79" s="1238"/>
      <c r="P79" s="1238"/>
      <c r="Q79" s="1244"/>
      <c r="R79" s="1244"/>
      <c r="S79" s="1244"/>
      <c r="T79" s="1244">
        <v>10770</v>
      </c>
      <c r="U79" s="1244"/>
      <c r="V79" s="1244">
        <v>7805</v>
      </c>
      <c r="W79" s="1244">
        <v>2400</v>
      </c>
      <c r="X79" s="1257">
        <v>2400</v>
      </c>
      <c r="Y79" s="1255"/>
    </row>
    <row r="80" spans="1:25" ht="24">
      <c r="B80" s="1108"/>
      <c r="C80" s="1084" t="s">
        <v>34</v>
      </c>
      <c r="D80" s="1203">
        <v>15</v>
      </c>
      <c r="E80" s="1085" t="s">
        <v>527</v>
      </c>
      <c r="F80" s="1232">
        <f t="shared" si="17"/>
        <v>111180</v>
      </c>
      <c r="G80" s="1232">
        <f t="shared" si="18"/>
        <v>5000</v>
      </c>
      <c r="H80" s="1244">
        <v>5000</v>
      </c>
      <c r="I80" s="1239"/>
      <c r="J80" s="1239"/>
      <c r="K80" s="1239"/>
      <c r="L80" s="1239"/>
      <c r="M80" s="1232">
        <f t="shared" si="19"/>
        <v>106180</v>
      </c>
      <c r="N80" s="1238"/>
      <c r="O80" s="1238"/>
      <c r="P80" s="1238"/>
      <c r="Q80" s="1244"/>
      <c r="R80" s="1244">
        <v>25480</v>
      </c>
      <c r="S80" s="1244"/>
      <c r="T80" s="1244">
        <v>68000</v>
      </c>
      <c r="U80" s="1244"/>
      <c r="V80" s="1244"/>
      <c r="W80" s="1244">
        <v>5500</v>
      </c>
      <c r="X80" s="1257">
        <v>7200</v>
      </c>
      <c r="Y80" s="1255"/>
    </row>
    <row r="81" spans="1:25">
      <c r="B81" s="1108"/>
      <c r="C81" s="1084" t="s">
        <v>34</v>
      </c>
      <c r="D81" s="1203">
        <v>16</v>
      </c>
      <c r="E81" s="1118" t="s">
        <v>528</v>
      </c>
      <c r="F81" s="1232">
        <f t="shared" si="17"/>
        <v>105100</v>
      </c>
      <c r="G81" s="1232">
        <f t="shared" si="18"/>
        <v>50000</v>
      </c>
      <c r="H81" s="1244">
        <v>50000</v>
      </c>
      <c r="I81" s="1239"/>
      <c r="J81" s="1239"/>
      <c r="K81" s="1239"/>
      <c r="L81" s="1239"/>
      <c r="M81" s="1232">
        <f t="shared" si="19"/>
        <v>55100</v>
      </c>
      <c r="N81" s="1238"/>
      <c r="O81" s="1238"/>
      <c r="P81" s="1238"/>
      <c r="Q81" s="1244"/>
      <c r="R81" s="1244">
        <v>40000</v>
      </c>
      <c r="S81" s="1244">
        <v>15100</v>
      </c>
      <c r="T81" s="1244"/>
      <c r="U81" s="1244"/>
      <c r="V81" s="1244"/>
      <c r="W81" s="1244"/>
      <c r="X81" s="1257"/>
      <c r="Y81" s="1255"/>
    </row>
    <row r="82" spans="1:25" ht="24">
      <c r="B82" s="1108"/>
      <c r="C82" s="1084" t="s">
        <v>34</v>
      </c>
      <c r="D82" s="1203">
        <v>17</v>
      </c>
      <c r="E82" s="1085" t="s">
        <v>530</v>
      </c>
      <c r="F82" s="1232">
        <f t="shared" si="17"/>
        <v>30000</v>
      </c>
      <c r="G82" s="1232">
        <f t="shared" si="18"/>
        <v>30000</v>
      </c>
      <c r="H82" s="1244">
        <v>30000</v>
      </c>
      <c r="I82" s="1239"/>
      <c r="J82" s="1239"/>
      <c r="K82" s="1239"/>
      <c r="L82" s="1239"/>
      <c r="M82" s="1232">
        <f t="shared" si="19"/>
        <v>0</v>
      </c>
      <c r="N82" s="1238"/>
      <c r="O82" s="1238"/>
      <c r="P82" s="1238"/>
      <c r="Q82" s="1244"/>
      <c r="R82" s="1244"/>
      <c r="S82" s="1244"/>
      <c r="T82" s="1244"/>
      <c r="U82" s="1244"/>
      <c r="V82" s="1244"/>
      <c r="W82" s="1244"/>
      <c r="X82" s="1257"/>
      <c r="Y82" s="1255"/>
    </row>
    <row r="83" spans="1:25" ht="24">
      <c r="B83" s="1108"/>
      <c r="C83" s="1084" t="s">
        <v>34</v>
      </c>
      <c r="D83" s="1203">
        <v>18</v>
      </c>
      <c r="E83" s="1085" t="s">
        <v>531</v>
      </c>
      <c r="F83" s="1232">
        <f t="shared" si="17"/>
        <v>25000</v>
      </c>
      <c r="G83" s="1232">
        <f t="shared" si="18"/>
        <v>25000</v>
      </c>
      <c r="H83" s="1244">
        <v>25000</v>
      </c>
      <c r="I83" s="1239"/>
      <c r="J83" s="1239"/>
      <c r="K83" s="1239"/>
      <c r="L83" s="1239"/>
      <c r="M83" s="1232">
        <f t="shared" si="19"/>
        <v>0</v>
      </c>
      <c r="N83" s="1238"/>
      <c r="O83" s="1238"/>
      <c r="P83" s="1238"/>
      <c r="Q83" s="1244"/>
      <c r="R83" s="1244"/>
      <c r="S83" s="1244"/>
      <c r="T83" s="1244"/>
      <c r="U83" s="1244"/>
      <c r="V83" s="1244"/>
      <c r="W83" s="1244"/>
      <c r="X83" s="1257"/>
      <c r="Y83" s="1255"/>
    </row>
    <row r="84" spans="1:25">
      <c r="B84" s="1108"/>
      <c r="C84" s="1084" t="s">
        <v>34</v>
      </c>
      <c r="D84" s="1203">
        <v>19</v>
      </c>
      <c r="E84" s="1085" t="s">
        <v>532</v>
      </c>
      <c r="F84" s="1232">
        <f t="shared" si="17"/>
        <v>5000</v>
      </c>
      <c r="G84" s="1232">
        <f t="shared" si="18"/>
        <v>5000</v>
      </c>
      <c r="H84" s="1244">
        <v>5000</v>
      </c>
      <c r="I84" s="1239"/>
      <c r="J84" s="1239"/>
      <c r="K84" s="1239"/>
      <c r="L84" s="1239"/>
      <c r="M84" s="1232">
        <f t="shared" si="19"/>
        <v>0</v>
      </c>
      <c r="N84" s="1238"/>
      <c r="O84" s="1238"/>
      <c r="P84" s="1238"/>
      <c r="Q84" s="1244"/>
      <c r="R84" s="1244"/>
      <c r="S84" s="1244"/>
      <c r="T84" s="1244"/>
      <c r="U84" s="1244"/>
      <c r="V84" s="1244"/>
      <c r="W84" s="1244"/>
      <c r="X84" s="1257"/>
      <c r="Y84" s="1255"/>
    </row>
    <row r="85" spans="1:25" s="1075" customFormat="1" ht="48">
      <c r="A85" s="1075">
        <v>3</v>
      </c>
      <c r="B85" s="1119">
        <v>3</v>
      </c>
      <c r="C85" s="1077" t="s">
        <v>34</v>
      </c>
      <c r="D85" s="1303"/>
      <c r="E85" s="1286" t="s">
        <v>235</v>
      </c>
      <c r="F85" s="1249">
        <f>G85+M85</f>
        <v>2052662.2039999999</v>
      </c>
      <c r="G85" s="1249">
        <f>SUM(H85:L85)</f>
        <v>721080</v>
      </c>
      <c r="H85" s="1233">
        <f>H86+H93+H105+H111+H120</f>
        <v>721080</v>
      </c>
      <c r="I85" s="1233">
        <f t="shared" ref="I85:L85" si="20">I86+I93+I105+I111+I120</f>
        <v>0</v>
      </c>
      <c r="J85" s="1233">
        <f t="shared" si="20"/>
        <v>0</v>
      </c>
      <c r="K85" s="1233">
        <f t="shared" si="20"/>
        <v>0</v>
      </c>
      <c r="L85" s="1233">
        <f t="shared" si="20"/>
        <v>0</v>
      </c>
      <c r="M85" s="1249">
        <f t="shared" si="19"/>
        <v>1331582.2039999999</v>
      </c>
      <c r="N85" s="1706">
        <f>N86+N93+N105+N111+N120</f>
        <v>173466</v>
      </c>
      <c r="O85" s="1706">
        <f t="shared" ref="O85:Y85" si="21">O86+O93+O105+O111+O120</f>
        <v>108594.204</v>
      </c>
      <c r="P85" s="1706">
        <f t="shared" si="21"/>
        <v>109844</v>
      </c>
      <c r="Q85" s="1706">
        <f t="shared" si="21"/>
        <v>129841</v>
      </c>
      <c r="R85" s="1706">
        <f t="shared" si="21"/>
        <v>95786</v>
      </c>
      <c r="S85" s="1706">
        <f t="shared" si="21"/>
        <v>65890</v>
      </c>
      <c r="T85" s="1706">
        <f t="shared" si="21"/>
        <v>103915</v>
      </c>
      <c r="U85" s="1706">
        <f t="shared" si="21"/>
        <v>197720</v>
      </c>
      <c r="V85" s="1706">
        <f t="shared" si="21"/>
        <v>178096</v>
      </c>
      <c r="W85" s="1706">
        <f t="shared" si="21"/>
        <v>46380</v>
      </c>
      <c r="X85" s="1706">
        <f t="shared" si="21"/>
        <v>20580</v>
      </c>
      <c r="Y85" s="1706">
        <f t="shared" si="21"/>
        <v>101470</v>
      </c>
    </row>
    <row r="86" spans="1:25" s="1078" customFormat="1" ht="24">
      <c r="A86" s="1078" t="s">
        <v>806</v>
      </c>
      <c r="B86" s="1094" t="s">
        <v>245</v>
      </c>
      <c r="C86" s="1080" t="s">
        <v>34</v>
      </c>
      <c r="D86" s="1431"/>
      <c r="E86" s="1290" t="s">
        <v>23</v>
      </c>
      <c r="F86" s="1235">
        <f t="shared" si="17"/>
        <v>280620</v>
      </c>
      <c r="G86" s="1235">
        <f t="shared" si="18"/>
        <v>62800</v>
      </c>
      <c r="H86" s="1236">
        <f>SUM(H87:H92)</f>
        <v>62800</v>
      </c>
      <c r="I86" s="1236">
        <f t="shared" ref="I86:X86" si="22">SUM(I87:I92)</f>
        <v>0</v>
      </c>
      <c r="J86" s="1236">
        <f t="shared" si="22"/>
        <v>0</v>
      </c>
      <c r="K86" s="1236">
        <f t="shared" si="22"/>
        <v>0</v>
      </c>
      <c r="L86" s="1236">
        <f t="shared" si="22"/>
        <v>0</v>
      </c>
      <c r="M86" s="1236">
        <f t="shared" si="22"/>
        <v>217820</v>
      </c>
      <c r="N86" s="1236">
        <f t="shared" si="22"/>
        <v>41700</v>
      </c>
      <c r="O86" s="1236">
        <f t="shared" si="22"/>
        <v>51100</v>
      </c>
      <c r="P86" s="1236">
        <f t="shared" si="22"/>
        <v>36360</v>
      </c>
      <c r="Q86" s="1236">
        <f t="shared" si="22"/>
        <v>12600</v>
      </c>
      <c r="R86" s="1236">
        <f t="shared" si="22"/>
        <v>17500</v>
      </c>
      <c r="S86" s="1236">
        <f t="shared" si="22"/>
        <v>1700</v>
      </c>
      <c r="T86" s="1236">
        <f t="shared" si="22"/>
        <v>19560</v>
      </c>
      <c r="U86" s="1236">
        <f t="shared" si="22"/>
        <v>14880</v>
      </c>
      <c r="V86" s="1236">
        <f t="shared" si="22"/>
        <v>12760</v>
      </c>
      <c r="W86" s="1236">
        <f t="shared" si="22"/>
        <v>7500</v>
      </c>
      <c r="X86" s="1236">
        <f t="shared" si="22"/>
        <v>2160</v>
      </c>
      <c r="Y86" s="1236">
        <f>SUM(Y87:Y92)</f>
        <v>0</v>
      </c>
    </row>
    <row r="87" spans="1:25" s="1088" customFormat="1" ht="36">
      <c r="B87" s="1092"/>
      <c r="C87" s="1084" t="s">
        <v>34</v>
      </c>
      <c r="D87" s="1203">
        <v>1</v>
      </c>
      <c r="E87" s="1102" t="s">
        <v>430</v>
      </c>
      <c r="F87" s="1258">
        <f t="shared" si="17"/>
        <v>44080</v>
      </c>
      <c r="G87" s="1258">
        <f t="shared" si="18"/>
        <v>21520</v>
      </c>
      <c r="H87" s="1240">
        <v>21520</v>
      </c>
      <c r="I87" s="1239"/>
      <c r="J87" s="1239"/>
      <c r="K87" s="1239"/>
      <c r="L87" s="1239"/>
      <c r="M87" s="1258">
        <f t="shared" si="19"/>
        <v>22560</v>
      </c>
      <c r="N87" s="1240"/>
      <c r="O87" s="1238"/>
      <c r="P87" s="1240">
        <v>2360</v>
      </c>
      <c r="Q87" s="1240"/>
      <c r="R87" s="1240">
        <v>2500</v>
      </c>
      <c r="S87" s="1240">
        <v>1700</v>
      </c>
      <c r="T87" s="1240">
        <v>4000</v>
      </c>
      <c r="U87" s="1240"/>
      <c r="V87" s="1240">
        <v>10000</v>
      </c>
      <c r="W87" s="1240">
        <v>2000</v>
      </c>
      <c r="X87" s="1240"/>
      <c r="Y87" s="1240"/>
    </row>
    <row r="88" spans="1:25" s="1088" customFormat="1" ht="36">
      <c r="B88" s="1092"/>
      <c r="C88" s="1084" t="s">
        <v>34</v>
      </c>
      <c r="D88" s="1203">
        <v>2</v>
      </c>
      <c r="E88" s="1102" t="s">
        <v>431</v>
      </c>
      <c r="F88" s="1258">
        <f t="shared" si="17"/>
        <v>26960</v>
      </c>
      <c r="G88" s="1258">
        <f t="shared" si="18"/>
        <v>0</v>
      </c>
      <c r="H88" s="1240"/>
      <c r="I88" s="1239"/>
      <c r="J88" s="1239"/>
      <c r="K88" s="1239"/>
      <c r="L88" s="1239"/>
      <c r="M88" s="1258">
        <f t="shared" si="19"/>
        <v>26960</v>
      </c>
      <c r="N88" s="1240">
        <v>3300</v>
      </c>
      <c r="O88" s="1238">
        <v>2500</v>
      </c>
      <c r="P88" s="1240"/>
      <c r="Q88" s="1240">
        <v>4600</v>
      </c>
      <c r="R88" s="1240"/>
      <c r="S88" s="1240"/>
      <c r="T88" s="1240">
        <v>5560</v>
      </c>
      <c r="U88" s="1240">
        <v>3280</v>
      </c>
      <c r="V88" s="1240">
        <v>2760</v>
      </c>
      <c r="W88" s="1240">
        <v>2800</v>
      </c>
      <c r="X88" s="1240">
        <v>2160</v>
      </c>
      <c r="Y88" s="1240"/>
    </row>
    <row r="89" spans="1:25" s="1088" customFormat="1" ht="36">
      <c r="B89" s="1092"/>
      <c r="C89" s="1084" t="s">
        <v>34</v>
      </c>
      <c r="D89" s="1203">
        <v>3</v>
      </c>
      <c r="E89" s="1102" t="s">
        <v>432</v>
      </c>
      <c r="F89" s="1258">
        <f t="shared" si="17"/>
        <v>67480</v>
      </c>
      <c r="G89" s="1258">
        <f t="shared" si="18"/>
        <v>41280</v>
      </c>
      <c r="H89" s="1240">
        <v>41280</v>
      </c>
      <c r="I89" s="1239"/>
      <c r="J89" s="1239"/>
      <c r="K89" s="1239"/>
      <c r="L89" s="1239"/>
      <c r="M89" s="1258">
        <f t="shared" si="19"/>
        <v>26200</v>
      </c>
      <c r="N89" s="1240"/>
      <c r="O89" s="1238">
        <v>8500</v>
      </c>
      <c r="P89" s="1240"/>
      <c r="Q89" s="1240"/>
      <c r="R89" s="1240">
        <v>15000</v>
      </c>
      <c r="S89" s="1240"/>
      <c r="T89" s="1240"/>
      <c r="U89" s="1240"/>
      <c r="V89" s="1240"/>
      <c r="W89" s="1240">
        <v>2700</v>
      </c>
      <c r="X89" s="1240"/>
      <c r="Y89" s="1240"/>
    </row>
    <row r="90" spans="1:25" s="1088" customFormat="1" ht="36">
      <c r="B90" s="1092"/>
      <c r="C90" s="1084" t="s">
        <v>34</v>
      </c>
      <c r="D90" s="1203">
        <v>4</v>
      </c>
      <c r="E90" s="1105" t="s">
        <v>437</v>
      </c>
      <c r="F90" s="1258">
        <f t="shared" si="17"/>
        <v>19600</v>
      </c>
      <c r="G90" s="1258">
        <f t="shared" si="18"/>
        <v>0</v>
      </c>
      <c r="H90" s="1240"/>
      <c r="I90" s="1239"/>
      <c r="J90" s="1239"/>
      <c r="K90" s="1239"/>
      <c r="L90" s="1239"/>
      <c r="M90" s="1258">
        <f t="shared" si="19"/>
        <v>19600</v>
      </c>
      <c r="N90" s="1240"/>
      <c r="O90" s="1238"/>
      <c r="P90" s="1240"/>
      <c r="Q90" s="1240">
        <v>8000</v>
      </c>
      <c r="R90" s="1240"/>
      <c r="S90" s="1240"/>
      <c r="T90" s="1240"/>
      <c r="U90" s="1240">
        <v>11600</v>
      </c>
      <c r="V90" s="1240"/>
      <c r="W90" s="1240"/>
      <c r="X90" s="1240"/>
      <c r="Y90" s="1240"/>
    </row>
    <row r="91" spans="1:25" s="1088" customFormat="1" ht="108">
      <c r="B91" s="1092"/>
      <c r="C91" s="1084" t="s">
        <v>34</v>
      </c>
      <c r="D91" s="1203">
        <v>5</v>
      </c>
      <c r="E91" s="1105" t="s">
        <v>439</v>
      </c>
      <c r="F91" s="1258">
        <f t="shared" si="17"/>
        <v>82400</v>
      </c>
      <c r="G91" s="1258">
        <f t="shared" si="18"/>
        <v>0</v>
      </c>
      <c r="H91" s="1240"/>
      <c r="I91" s="1239"/>
      <c r="J91" s="1239"/>
      <c r="K91" s="1239"/>
      <c r="L91" s="1239"/>
      <c r="M91" s="1258">
        <f t="shared" si="19"/>
        <v>82400</v>
      </c>
      <c r="N91" s="1240">
        <v>38400</v>
      </c>
      <c r="O91" s="1238"/>
      <c r="P91" s="1240">
        <v>34000</v>
      </c>
      <c r="Q91" s="1240"/>
      <c r="R91" s="1240"/>
      <c r="S91" s="1240"/>
      <c r="T91" s="1240">
        <v>10000</v>
      </c>
      <c r="U91" s="1240"/>
      <c r="V91" s="1240"/>
      <c r="W91" s="1240"/>
      <c r="X91" s="1240"/>
      <c r="Y91" s="1240"/>
    </row>
    <row r="92" spans="1:25" s="1088" customFormat="1" ht="36">
      <c r="B92" s="1092"/>
      <c r="C92" s="1084" t="s">
        <v>34</v>
      </c>
      <c r="D92" s="1203">
        <v>6</v>
      </c>
      <c r="E92" s="1085" t="s">
        <v>665</v>
      </c>
      <c r="F92" s="1258">
        <f t="shared" si="17"/>
        <v>40100</v>
      </c>
      <c r="G92" s="1258">
        <f t="shared" si="18"/>
        <v>0</v>
      </c>
      <c r="H92" s="1240"/>
      <c r="I92" s="1239"/>
      <c r="J92" s="1239"/>
      <c r="K92" s="1239"/>
      <c r="L92" s="1239"/>
      <c r="M92" s="1258">
        <f t="shared" si="19"/>
        <v>40100</v>
      </c>
      <c r="N92" s="1240"/>
      <c r="O92" s="1238">
        <v>40100</v>
      </c>
      <c r="P92" s="1240"/>
      <c r="Q92" s="1240"/>
      <c r="R92" s="1240"/>
      <c r="S92" s="1240"/>
      <c r="T92" s="1240"/>
      <c r="U92" s="1240"/>
      <c r="V92" s="1240"/>
      <c r="W92" s="1240"/>
      <c r="X92" s="1240"/>
      <c r="Y92" s="1240"/>
    </row>
    <row r="93" spans="1:25" s="1082" customFormat="1" ht="24">
      <c r="A93" s="1082" t="s">
        <v>807</v>
      </c>
      <c r="B93" s="1094" t="s">
        <v>246</v>
      </c>
      <c r="C93" s="1080" t="s">
        <v>34</v>
      </c>
      <c r="D93" s="1203"/>
      <c r="E93" s="1290" t="s">
        <v>304</v>
      </c>
      <c r="F93" s="1235">
        <f t="shared" si="17"/>
        <v>378040</v>
      </c>
      <c r="G93" s="1235">
        <f t="shared" si="18"/>
        <v>181000</v>
      </c>
      <c r="H93" s="1236">
        <f>SUM(H94:H104)</f>
        <v>181000</v>
      </c>
      <c r="I93" s="1236">
        <f t="shared" ref="I93:Y93" si="23">SUM(I94:I104)</f>
        <v>0</v>
      </c>
      <c r="J93" s="1236">
        <f t="shared" si="23"/>
        <v>0</v>
      </c>
      <c r="K93" s="1236">
        <f t="shared" si="23"/>
        <v>0</v>
      </c>
      <c r="L93" s="1236">
        <f t="shared" si="23"/>
        <v>0</v>
      </c>
      <c r="M93" s="1236">
        <f t="shared" si="23"/>
        <v>197040</v>
      </c>
      <c r="N93" s="1236">
        <f t="shared" si="23"/>
        <v>7875</v>
      </c>
      <c r="O93" s="1236">
        <f t="shared" si="23"/>
        <v>2160</v>
      </c>
      <c r="P93" s="1236">
        <f t="shared" si="23"/>
        <v>19180</v>
      </c>
      <c r="Q93" s="1236">
        <f t="shared" si="23"/>
        <v>9750</v>
      </c>
      <c r="R93" s="1236">
        <f t="shared" si="23"/>
        <v>32516</v>
      </c>
      <c r="S93" s="1236">
        <f t="shared" si="23"/>
        <v>30380</v>
      </c>
      <c r="T93" s="1236">
        <f t="shared" si="23"/>
        <v>12135</v>
      </c>
      <c r="U93" s="1236">
        <f t="shared" si="23"/>
        <v>14952</v>
      </c>
      <c r="V93" s="1236">
        <f t="shared" si="23"/>
        <v>32472</v>
      </c>
      <c r="W93" s="1236">
        <f t="shared" si="23"/>
        <v>10800</v>
      </c>
      <c r="X93" s="1236">
        <f t="shared" si="23"/>
        <v>7440</v>
      </c>
      <c r="Y93" s="1236">
        <f t="shared" si="23"/>
        <v>17380</v>
      </c>
    </row>
    <row r="94" spans="1:25" s="1088" customFormat="1" ht="72">
      <c r="B94" s="1092"/>
      <c r="C94" s="1084" t="s">
        <v>34</v>
      </c>
      <c r="D94" s="1203">
        <v>1</v>
      </c>
      <c r="E94" s="1102" t="s">
        <v>74</v>
      </c>
      <c r="F94" s="1258">
        <f t="shared" si="17"/>
        <v>70770</v>
      </c>
      <c r="G94" s="1258">
        <f t="shared" si="18"/>
        <v>16740</v>
      </c>
      <c r="H94" s="1240">
        <v>16740</v>
      </c>
      <c r="I94" s="1239"/>
      <c r="J94" s="1239"/>
      <c r="K94" s="1239"/>
      <c r="L94" s="1239"/>
      <c r="M94" s="1258">
        <f t="shared" si="19"/>
        <v>54030</v>
      </c>
      <c r="N94" s="1240">
        <v>6600</v>
      </c>
      <c r="O94" s="1238"/>
      <c r="P94" s="1240">
        <v>1180</v>
      </c>
      <c r="Q94" s="1240">
        <v>4600</v>
      </c>
      <c r="R94" s="1238">
        <v>2850</v>
      </c>
      <c r="S94" s="1240">
        <v>13740</v>
      </c>
      <c r="T94" s="1240">
        <v>5300</v>
      </c>
      <c r="U94" s="1238">
        <v>3200</v>
      </c>
      <c r="V94" s="1238">
        <v>5760</v>
      </c>
      <c r="W94" s="1251">
        <v>2860</v>
      </c>
      <c r="X94" s="1240">
        <v>4800</v>
      </c>
      <c r="Y94" s="1238">
        <v>3140</v>
      </c>
    </row>
    <row r="95" spans="1:25" s="1088" customFormat="1" ht="24">
      <c r="B95" s="1092"/>
      <c r="C95" s="1084" t="s">
        <v>34</v>
      </c>
      <c r="D95" s="1203">
        <v>2</v>
      </c>
      <c r="E95" s="1102" t="s">
        <v>77</v>
      </c>
      <c r="F95" s="1258">
        <f t="shared" si="17"/>
        <v>16335</v>
      </c>
      <c r="G95" s="1258">
        <f t="shared" si="18"/>
        <v>10000</v>
      </c>
      <c r="H95" s="1240">
        <v>10000</v>
      </c>
      <c r="I95" s="1239"/>
      <c r="J95" s="1239"/>
      <c r="K95" s="1239"/>
      <c r="L95" s="1239"/>
      <c r="M95" s="1258">
        <f t="shared" si="19"/>
        <v>6335</v>
      </c>
      <c r="N95" s="1240"/>
      <c r="O95" s="1238"/>
      <c r="P95" s="1251">
        <v>1400</v>
      </c>
      <c r="Q95" s="1251"/>
      <c r="R95" s="1255"/>
      <c r="S95" s="1240"/>
      <c r="T95" s="1240">
        <v>2235</v>
      </c>
      <c r="U95" s="1240"/>
      <c r="V95" s="1238">
        <v>500</v>
      </c>
      <c r="W95" s="1240"/>
      <c r="X95" s="1238">
        <v>1200</v>
      </c>
      <c r="Y95" s="1255">
        <v>1000</v>
      </c>
    </row>
    <row r="96" spans="1:25" s="1088" customFormat="1" ht="24">
      <c r="B96" s="1092"/>
      <c r="C96" s="1084" t="s">
        <v>34</v>
      </c>
      <c r="D96" s="1203">
        <v>3</v>
      </c>
      <c r="E96" s="1102" t="s">
        <v>78</v>
      </c>
      <c r="F96" s="1258">
        <f t="shared" si="17"/>
        <v>28800</v>
      </c>
      <c r="G96" s="1258">
        <f t="shared" si="18"/>
        <v>0</v>
      </c>
      <c r="H96" s="1240"/>
      <c r="I96" s="1239"/>
      <c r="J96" s="1239"/>
      <c r="K96" s="1239"/>
      <c r="L96" s="1239"/>
      <c r="M96" s="1258">
        <f t="shared" si="19"/>
        <v>28800</v>
      </c>
      <c r="N96" s="1240">
        <v>300</v>
      </c>
      <c r="O96" s="1238"/>
      <c r="P96" s="1240">
        <v>15000</v>
      </c>
      <c r="Q96" s="1240"/>
      <c r="R96" s="1255">
        <v>8000</v>
      </c>
      <c r="S96" s="1240">
        <v>4000</v>
      </c>
      <c r="T96" s="1240"/>
      <c r="U96" s="1240"/>
      <c r="V96" s="1238">
        <v>100</v>
      </c>
      <c r="W96" s="1240"/>
      <c r="X96" s="1238"/>
      <c r="Y96" s="1255">
        <v>1400</v>
      </c>
    </row>
    <row r="97" spans="1:27" s="1088" customFormat="1">
      <c r="B97" s="1092"/>
      <c r="C97" s="1084" t="s">
        <v>34</v>
      </c>
      <c r="D97" s="1203">
        <v>4</v>
      </c>
      <c r="E97" s="1102" t="s">
        <v>79</v>
      </c>
      <c r="F97" s="1258">
        <f t="shared" si="17"/>
        <v>14875</v>
      </c>
      <c r="G97" s="1258">
        <f t="shared" si="18"/>
        <v>0</v>
      </c>
      <c r="H97" s="1251"/>
      <c r="I97" s="1239"/>
      <c r="J97" s="1239"/>
      <c r="K97" s="1239"/>
      <c r="L97" s="1239"/>
      <c r="M97" s="1258">
        <f t="shared" si="19"/>
        <v>14875</v>
      </c>
      <c r="N97" s="1240">
        <v>975</v>
      </c>
      <c r="O97" s="1238"/>
      <c r="P97" s="1240"/>
      <c r="Q97" s="1251"/>
      <c r="R97" s="1255">
        <v>8000</v>
      </c>
      <c r="S97" s="1240">
        <v>4000</v>
      </c>
      <c r="T97" s="1240"/>
      <c r="U97" s="1240"/>
      <c r="V97" s="1238">
        <v>500</v>
      </c>
      <c r="W97" s="1240"/>
      <c r="X97" s="1238"/>
      <c r="Y97" s="1238">
        <v>1400</v>
      </c>
    </row>
    <row r="98" spans="1:27" s="1088" customFormat="1" ht="24">
      <c r="B98" s="1092"/>
      <c r="C98" s="1084" t="s">
        <v>34</v>
      </c>
      <c r="D98" s="1203">
        <v>5</v>
      </c>
      <c r="E98" s="1102" t="s">
        <v>80</v>
      </c>
      <c r="F98" s="1258">
        <f t="shared" si="17"/>
        <v>19200</v>
      </c>
      <c r="G98" s="1258">
        <f t="shared" si="18"/>
        <v>10000</v>
      </c>
      <c r="H98" s="1240">
        <v>10000</v>
      </c>
      <c r="I98" s="1239"/>
      <c r="J98" s="1239"/>
      <c r="K98" s="1239"/>
      <c r="L98" s="1239"/>
      <c r="M98" s="1258">
        <f t="shared" si="19"/>
        <v>9200</v>
      </c>
      <c r="N98" s="1240"/>
      <c r="O98" s="1238">
        <v>1200</v>
      </c>
      <c r="P98" s="1240"/>
      <c r="Q98" s="1240"/>
      <c r="R98" s="1255"/>
      <c r="S98" s="1240"/>
      <c r="T98" s="1240"/>
      <c r="U98" s="1240"/>
      <c r="V98" s="1238">
        <v>2000</v>
      </c>
      <c r="W98" s="1240"/>
      <c r="X98" s="1238"/>
      <c r="Y98" s="1255">
        <v>6000</v>
      </c>
    </row>
    <row r="99" spans="1:27" s="1095" customFormat="1" ht="24">
      <c r="B99" s="1124"/>
      <c r="C99" s="1125" t="s">
        <v>34</v>
      </c>
      <c r="D99" s="1203">
        <v>6</v>
      </c>
      <c r="E99" s="1291" t="s">
        <v>442</v>
      </c>
      <c r="F99" s="1263">
        <f t="shared" si="17"/>
        <v>3000</v>
      </c>
      <c r="G99" s="1263">
        <f t="shared" si="18"/>
        <v>0</v>
      </c>
      <c r="H99" s="1248"/>
      <c r="I99" s="1250"/>
      <c r="J99" s="1250"/>
      <c r="K99" s="1250"/>
      <c r="L99" s="1250"/>
      <c r="M99" s="1263">
        <f t="shared" si="19"/>
        <v>3000</v>
      </c>
      <c r="N99" s="1248">
        <f>SUM(N100:N101)</f>
        <v>0</v>
      </c>
      <c r="O99" s="1247"/>
      <c r="P99" s="1248">
        <f>SUM(P100:P101)</f>
        <v>0</v>
      </c>
      <c r="Q99" s="1248"/>
      <c r="R99" s="1264">
        <f>SUM(R100:R101)</f>
        <v>0</v>
      </c>
      <c r="S99" s="1248">
        <f>SUM(S100:S101)</f>
        <v>0</v>
      </c>
      <c r="T99" s="1248"/>
      <c r="U99" s="1248"/>
      <c r="V99" s="1247">
        <f>SUM(V100:V101)</f>
        <v>3000</v>
      </c>
      <c r="W99" s="1248"/>
      <c r="X99" s="1247">
        <f>SUM(X100:X101)</f>
        <v>0</v>
      </c>
      <c r="Y99" s="1264"/>
    </row>
    <row r="100" spans="1:27" s="1088" customFormat="1" ht="24">
      <c r="B100" s="1092"/>
      <c r="C100" s="1084" t="s">
        <v>34</v>
      </c>
      <c r="D100" s="1203">
        <v>7</v>
      </c>
      <c r="E100" s="1102" t="s">
        <v>83</v>
      </c>
      <c r="F100" s="1258">
        <f t="shared" si="17"/>
        <v>5400</v>
      </c>
      <c r="G100" s="1258">
        <f t="shared" si="18"/>
        <v>0</v>
      </c>
      <c r="H100" s="1240"/>
      <c r="I100" s="1239"/>
      <c r="J100" s="1239"/>
      <c r="K100" s="1239"/>
      <c r="L100" s="1239"/>
      <c r="M100" s="1258">
        <f t="shared" si="19"/>
        <v>5400</v>
      </c>
      <c r="N100" s="1240"/>
      <c r="O100" s="1238"/>
      <c r="P100" s="1240"/>
      <c r="Q100" s="1240"/>
      <c r="R100" s="1255"/>
      <c r="S100" s="1240"/>
      <c r="T100" s="1240"/>
      <c r="U100" s="1240"/>
      <c r="V100" s="1238">
        <v>2400</v>
      </c>
      <c r="W100" s="1240"/>
      <c r="X100" s="1238"/>
      <c r="Y100" s="1255">
        <v>3000</v>
      </c>
    </row>
    <row r="101" spans="1:27" s="1088" customFormat="1" ht="48">
      <c r="B101" s="1092"/>
      <c r="C101" s="1084" t="s">
        <v>34</v>
      </c>
      <c r="D101" s="1203">
        <v>8</v>
      </c>
      <c r="E101" s="1102" t="s">
        <v>84</v>
      </c>
      <c r="F101" s="1258">
        <f t="shared" si="17"/>
        <v>600</v>
      </c>
      <c r="G101" s="1258">
        <f t="shared" si="18"/>
        <v>0</v>
      </c>
      <c r="H101" s="1240"/>
      <c r="I101" s="1239"/>
      <c r="J101" s="1239"/>
      <c r="K101" s="1239"/>
      <c r="L101" s="1239"/>
      <c r="M101" s="1258">
        <f t="shared" si="19"/>
        <v>600</v>
      </c>
      <c r="N101" s="1240"/>
      <c r="O101" s="1238"/>
      <c r="P101" s="1240"/>
      <c r="Q101" s="1240"/>
      <c r="R101" s="1255"/>
      <c r="S101" s="1240">
        <v>0</v>
      </c>
      <c r="T101" s="1240"/>
      <c r="U101" s="1240"/>
      <c r="V101" s="1238">
        <v>600</v>
      </c>
      <c r="W101" s="1240"/>
      <c r="X101" s="1238"/>
      <c r="Y101" s="1255"/>
    </row>
    <row r="102" spans="1:27" s="1088" customFormat="1" ht="24">
      <c r="B102" s="1092"/>
      <c r="C102" s="1084" t="s">
        <v>34</v>
      </c>
      <c r="D102" s="1203">
        <v>9</v>
      </c>
      <c r="E102" s="1096" t="s">
        <v>856</v>
      </c>
      <c r="F102" s="1258">
        <f t="shared" si="17"/>
        <v>144458</v>
      </c>
      <c r="G102" s="1258">
        <f t="shared" si="18"/>
        <v>94260</v>
      </c>
      <c r="H102" s="1255">
        <v>94260</v>
      </c>
      <c r="I102" s="1239"/>
      <c r="J102" s="1239"/>
      <c r="K102" s="1239"/>
      <c r="L102" s="1239"/>
      <c r="M102" s="1258">
        <f t="shared" si="19"/>
        <v>50198</v>
      </c>
      <c r="N102" s="1255"/>
      <c r="O102" s="1238">
        <v>960</v>
      </c>
      <c r="P102" s="1240">
        <v>1600</v>
      </c>
      <c r="Q102" s="1255">
        <v>5150</v>
      </c>
      <c r="R102" s="1255">
        <v>6736</v>
      </c>
      <c r="S102" s="1255">
        <v>8640</v>
      </c>
      <c r="T102" s="1240">
        <v>4600</v>
      </c>
      <c r="U102" s="1255"/>
      <c r="V102" s="1238">
        <v>17112</v>
      </c>
      <c r="W102" s="1255">
        <v>2520</v>
      </c>
      <c r="X102" s="1238">
        <v>1440</v>
      </c>
      <c r="Y102" s="1255">
        <v>1440</v>
      </c>
    </row>
    <row r="103" spans="1:27" s="1088" customFormat="1" ht="24">
      <c r="B103" s="1092"/>
      <c r="C103" s="1084" t="s">
        <v>34</v>
      </c>
      <c r="D103" s="1203">
        <v>10</v>
      </c>
      <c r="E103" s="1287" t="s">
        <v>669</v>
      </c>
      <c r="F103" s="1258">
        <f t="shared" si="17"/>
        <v>24102</v>
      </c>
      <c r="G103" s="1258">
        <f t="shared" si="18"/>
        <v>0</v>
      </c>
      <c r="H103" s="1255"/>
      <c r="I103" s="1239"/>
      <c r="J103" s="1239"/>
      <c r="K103" s="1239"/>
      <c r="L103" s="1239"/>
      <c r="M103" s="1258">
        <f t="shared" si="19"/>
        <v>24102</v>
      </c>
      <c r="N103" s="1255"/>
      <c r="O103" s="1238"/>
      <c r="P103" s="1240"/>
      <c r="Q103" s="1255"/>
      <c r="R103" s="1240">
        <v>6930</v>
      </c>
      <c r="S103" s="1255"/>
      <c r="T103" s="1240"/>
      <c r="U103" s="1255">
        <v>11752</v>
      </c>
      <c r="V103" s="1238"/>
      <c r="W103" s="1255">
        <v>5420</v>
      </c>
      <c r="X103" s="1238"/>
      <c r="Y103" s="1255"/>
    </row>
    <row r="104" spans="1:27" s="1088" customFormat="1">
      <c r="B104" s="1092"/>
      <c r="C104" s="1084" t="s">
        <v>34</v>
      </c>
      <c r="D104" s="1203">
        <v>11</v>
      </c>
      <c r="E104" s="1085" t="s">
        <v>291</v>
      </c>
      <c r="F104" s="1258">
        <f t="shared" si="17"/>
        <v>50500</v>
      </c>
      <c r="G104" s="1258">
        <f t="shared" si="18"/>
        <v>50000</v>
      </c>
      <c r="H104" s="1255">
        <v>50000</v>
      </c>
      <c r="I104" s="1239"/>
      <c r="J104" s="1239"/>
      <c r="K104" s="1239"/>
      <c r="L104" s="1239"/>
      <c r="M104" s="1258">
        <f t="shared" si="19"/>
        <v>500</v>
      </c>
      <c r="N104" s="1255"/>
      <c r="O104" s="1238"/>
      <c r="P104" s="1240"/>
      <c r="Q104" s="1255"/>
      <c r="R104" s="1240"/>
      <c r="S104" s="1255"/>
      <c r="T104" s="1240"/>
      <c r="U104" s="1255"/>
      <c r="V104" s="1238">
        <v>500</v>
      </c>
      <c r="W104" s="1255"/>
      <c r="X104" s="1238"/>
      <c r="Y104" s="1255"/>
    </row>
    <row r="105" spans="1:27" s="1078" customFormat="1" ht="36">
      <c r="A105" s="1078" t="s">
        <v>808</v>
      </c>
      <c r="B105" s="1094" t="s">
        <v>247</v>
      </c>
      <c r="C105" s="1080" t="s">
        <v>34</v>
      </c>
      <c r="D105" s="1431"/>
      <c r="E105" s="1081" t="s">
        <v>237</v>
      </c>
      <c r="F105" s="1235">
        <f t="shared" si="17"/>
        <v>1007880</v>
      </c>
      <c r="G105" s="1235">
        <f t="shared" si="18"/>
        <v>267080</v>
      </c>
      <c r="H105" s="1236">
        <f>SUM(H106:H110)</f>
        <v>267080</v>
      </c>
      <c r="I105" s="1236">
        <f t="shared" ref="I105:Y105" si="24">SUM(I106:I110)</f>
        <v>0</v>
      </c>
      <c r="J105" s="1236">
        <f t="shared" si="24"/>
        <v>0</v>
      </c>
      <c r="K105" s="1236">
        <f t="shared" si="24"/>
        <v>0</v>
      </c>
      <c r="L105" s="1236">
        <f t="shared" si="24"/>
        <v>0</v>
      </c>
      <c r="M105" s="1236">
        <f t="shared" si="24"/>
        <v>740800</v>
      </c>
      <c r="N105" s="1236">
        <f t="shared" si="24"/>
        <v>69007</v>
      </c>
      <c r="O105" s="1236">
        <f t="shared" si="24"/>
        <v>22400</v>
      </c>
      <c r="P105" s="1236">
        <f t="shared" si="24"/>
        <v>50944</v>
      </c>
      <c r="Q105" s="1236">
        <f t="shared" si="24"/>
        <v>98691</v>
      </c>
      <c r="R105" s="1236">
        <f t="shared" si="24"/>
        <v>45770</v>
      </c>
      <c r="S105" s="1236">
        <f t="shared" si="24"/>
        <v>32330</v>
      </c>
      <c r="T105" s="1236">
        <f t="shared" si="24"/>
        <v>61480</v>
      </c>
      <c r="U105" s="1236">
        <f t="shared" si="24"/>
        <v>167888</v>
      </c>
      <c r="V105" s="1236">
        <f t="shared" si="24"/>
        <v>82200</v>
      </c>
      <c r="W105" s="1236">
        <f t="shared" si="24"/>
        <v>22030</v>
      </c>
      <c r="X105" s="1236">
        <f t="shared" si="24"/>
        <v>7620</v>
      </c>
      <c r="Y105" s="1236">
        <f t="shared" si="24"/>
        <v>80440</v>
      </c>
    </row>
    <row r="106" spans="1:27" s="1088" customFormat="1">
      <c r="B106" s="1127"/>
      <c r="C106" s="1084" t="s">
        <v>34</v>
      </c>
      <c r="D106" s="1203">
        <v>1</v>
      </c>
      <c r="E106" s="1114" t="s">
        <v>86</v>
      </c>
      <c r="F106" s="1258">
        <f t="shared" si="17"/>
        <v>27000</v>
      </c>
      <c r="G106" s="1258">
        <f t="shared" si="18"/>
        <v>0</v>
      </c>
      <c r="H106" s="1240"/>
      <c r="I106" s="1239"/>
      <c r="J106" s="1239"/>
      <c r="K106" s="1239"/>
      <c r="L106" s="1239"/>
      <c r="M106" s="1258">
        <f t="shared" si="19"/>
        <v>27000</v>
      </c>
      <c r="N106" s="1240"/>
      <c r="O106" s="1238">
        <v>3500</v>
      </c>
      <c r="P106" s="1240"/>
      <c r="Q106" s="1240"/>
      <c r="R106" s="1255"/>
      <c r="S106" s="1240"/>
      <c r="T106" s="1240">
        <v>4900</v>
      </c>
      <c r="U106" s="1240"/>
      <c r="V106" s="1240">
        <v>18600</v>
      </c>
      <c r="W106" s="1240"/>
      <c r="X106" s="1240"/>
      <c r="Y106" s="1240"/>
    </row>
    <row r="107" spans="1:27" s="1088" customFormat="1" ht="36">
      <c r="B107" s="1127"/>
      <c r="C107" s="1084" t="s">
        <v>34</v>
      </c>
      <c r="D107" s="1203">
        <v>2</v>
      </c>
      <c r="E107" s="1128" t="s">
        <v>483</v>
      </c>
      <c r="F107" s="1258">
        <f t="shared" si="17"/>
        <v>93622</v>
      </c>
      <c r="G107" s="1258">
        <f t="shared" si="18"/>
        <v>0</v>
      </c>
      <c r="H107" s="1240"/>
      <c r="I107" s="1239"/>
      <c r="J107" s="1239"/>
      <c r="K107" s="1239"/>
      <c r="L107" s="1239"/>
      <c r="M107" s="1258">
        <f t="shared" si="19"/>
        <v>93622</v>
      </c>
      <c r="N107" s="1240"/>
      <c r="O107" s="1238">
        <v>3400</v>
      </c>
      <c r="P107" s="1240">
        <v>19164</v>
      </c>
      <c r="Q107" s="1240"/>
      <c r="R107" s="1240">
        <v>5800</v>
      </c>
      <c r="S107" s="1240">
        <v>10650</v>
      </c>
      <c r="T107" s="1240">
        <v>12000</v>
      </c>
      <c r="U107" s="1240">
        <v>18808</v>
      </c>
      <c r="V107" s="1240">
        <v>10000</v>
      </c>
      <c r="W107" s="1240">
        <v>5420</v>
      </c>
      <c r="X107" s="1240"/>
      <c r="Y107" s="1240">
        <v>8380</v>
      </c>
    </row>
    <row r="108" spans="1:27" s="1088" customFormat="1" ht="72">
      <c r="B108" s="1127"/>
      <c r="C108" s="1084" t="s">
        <v>34</v>
      </c>
      <c r="D108" s="1203">
        <v>3</v>
      </c>
      <c r="E108" s="1102" t="s">
        <v>590</v>
      </c>
      <c r="F108" s="1258">
        <f t="shared" si="17"/>
        <v>91850</v>
      </c>
      <c r="G108" s="1258">
        <f t="shared" si="18"/>
        <v>25800</v>
      </c>
      <c r="H108" s="1240">
        <v>25800</v>
      </c>
      <c r="I108" s="1239"/>
      <c r="J108" s="1239"/>
      <c r="K108" s="1239"/>
      <c r="L108" s="1239"/>
      <c r="M108" s="1258">
        <f t="shared" si="19"/>
        <v>66050</v>
      </c>
      <c r="N108" s="1240">
        <v>3300</v>
      </c>
      <c r="O108" s="1238">
        <v>3500</v>
      </c>
      <c r="P108" s="1240">
        <v>1180</v>
      </c>
      <c r="Q108" s="1240">
        <v>4600</v>
      </c>
      <c r="R108" s="1255">
        <v>2850</v>
      </c>
      <c r="S108" s="1240">
        <v>3120</v>
      </c>
      <c r="T108" s="1240">
        <v>16200</v>
      </c>
      <c r="U108" s="1238">
        <v>1620</v>
      </c>
      <c r="V108" s="1240">
        <v>18600</v>
      </c>
      <c r="W108" s="1240">
        <v>2860</v>
      </c>
      <c r="X108" s="1240">
        <v>6120</v>
      </c>
      <c r="Y108" s="1240">
        <v>2100</v>
      </c>
    </row>
    <row r="109" spans="1:27" s="1088" customFormat="1" ht="24">
      <c r="B109" s="1127"/>
      <c r="C109" s="1084" t="s">
        <v>34</v>
      </c>
      <c r="D109" s="1203">
        <v>4</v>
      </c>
      <c r="E109" s="1102" t="s">
        <v>88</v>
      </c>
      <c r="F109" s="1258">
        <f t="shared" si="17"/>
        <v>533030</v>
      </c>
      <c r="G109" s="1258">
        <f t="shared" si="18"/>
        <v>41280</v>
      </c>
      <c r="H109" s="1238">
        <v>41280</v>
      </c>
      <c r="I109" s="1239"/>
      <c r="J109" s="1239"/>
      <c r="K109" s="1239"/>
      <c r="L109" s="1239"/>
      <c r="M109" s="1258">
        <f t="shared" si="19"/>
        <v>491750</v>
      </c>
      <c r="N109" s="1240">
        <v>18920</v>
      </c>
      <c r="O109" s="1238">
        <v>12000</v>
      </c>
      <c r="P109" s="1240">
        <v>30600</v>
      </c>
      <c r="Q109" s="1240">
        <v>80000</v>
      </c>
      <c r="R109" s="1238">
        <v>37120</v>
      </c>
      <c r="S109" s="1240">
        <v>18560</v>
      </c>
      <c r="T109" s="1240">
        <v>28380</v>
      </c>
      <c r="U109" s="1240">
        <v>147460</v>
      </c>
      <c r="V109" s="1240">
        <v>35000</v>
      </c>
      <c r="W109" s="1240">
        <v>13750</v>
      </c>
      <c r="X109" s="1240"/>
      <c r="Y109" s="1240">
        <v>69960</v>
      </c>
    </row>
    <row r="110" spans="1:27" s="1088" customFormat="1" ht="24">
      <c r="B110" s="1127"/>
      <c r="C110" s="1084" t="s">
        <v>34</v>
      </c>
      <c r="D110" s="1203">
        <v>5</v>
      </c>
      <c r="E110" s="1085" t="s">
        <v>486</v>
      </c>
      <c r="F110" s="1258">
        <f t="shared" si="17"/>
        <v>262378</v>
      </c>
      <c r="G110" s="1258">
        <f t="shared" si="18"/>
        <v>200000</v>
      </c>
      <c r="H110" s="1240">
        <v>200000</v>
      </c>
      <c r="I110" s="1239"/>
      <c r="J110" s="1239"/>
      <c r="K110" s="1239"/>
      <c r="L110" s="1239"/>
      <c r="M110" s="1258">
        <f t="shared" si="19"/>
        <v>62378</v>
      </c>
      <c r="N110" s="1240">
        <v>46787</v>
      </c>
      <c r="O110" s="1238"/>
      <c r="P110" s="1240"/>
      <c r="Q110" s="1240">
        <v>14091</v>
      </c>
      <c r="R110" s="1240">
        <v>0</v>
      </c>
      <c r="S110" s="1240"/>
      <c r="T110" s="1240"/>
      <c r="U110" s="1240"/>
      <c r="V110" s="1240"/>
      <c r="W110" s="1240"/>
      <c r="X110" s="1240">
        <v>1500</v>
      </c>
      <c r="Y110" s="1240"/>
    </row>
    <row r="111" spans="1:27" s="1088" customFormat="1" ht="24">
      <c r="B111" s="1474" t="s">
        <v>828</v>
      </c>
      <c r="C111" s="1475" t="s">
        <v>34</v>
      </c>
      <c r="D111" s="1476"/>
      <c r="E111" s="1477" t="s">
        <v>865</v>
      </c>
      <c r="F111" s="1258">
        <f>SUM(F112:F118)</f>
        <v>224922</v>
      </c>
      <c r="G111" s="1258">
        <f t="shared" ref="G111" si="25">SUM(G112:G118)</f>
        <v>135200</v>
      </c>
      <c r="H111" s="1258">
        <f>SUM(H112:H119)</f>
        <v>135200</v>
      </c>
      <c r="I111" s="1258">
        <f t="shared" ref="I111:Y111" si="26">SUM(I112:I119)</f>
        <v>0</v>
      </c>
      <c r="J111" s="1258">
        <f t="shared" si="26"/>
        <v>0</v>
      </c>
      <c r="K111" s="1258">
        <f t="shared" si="26"/>
        <v>0</v>
      </c>
      <c r="L111" s="1258">
        <f t="shared" si="26"/>
        <v>0</v>
      </c>
      <c r="M111" s="1258">
        <f t="shared" si="26"/>
        <v>93222</v>
      </c>
      <c r="N111" s="1258">
        <f t="shared" si="26"/>
        <v>12938</v>
      </c>
      <c r="O111" s="1258">
        <f t="shared" si="26"/>
        <v>28500</v>
      </c>
      <c r="P111" s="1258">
        <f t="shared" si="26"/>
        <v>1180</v>
      </c>
      <c r="Q111" s="1258">
        <f t="shared" si="26"/>
        <v>4200</v>
      </c>
      <c r="R111" s="1258">
        <f t="shared" si="26"/>
        <v>0</v>
      </c>
      <c r="S111" s="1258">
        <f t="shared" si="26"/>
        <v>0</v>
      </c>
      <c r="T111" s="1258">
        <f t="shared" si="26"/>
        <v>0</v>
      </c>
      <c r="U111" s="1258">
        <f t="shared" si="26"/>
        <v>0</v>
      </c>
      <c r="V111" s="1258">
        <f t="shared" si="26"/>
        <v>46404</v>
      </c>
      <c r="W111" s="1258">
        <f t="shared" si="26"/>
        <v>0</v>
      </c>
      <c r="X111" s="1258">
        <f t="shared" si="26"/>
        <v>0</v>
      </c>
      <c r="Y111" s="1258">
        <f t="shared" si="26"/>
        <v>0</v>
      </c>
    </row>
    <row r="112" spans="1:27" s="1088" customFormat="1" ht="72">
      <c r="B112" s="1127"/>
      <c r="C112" s="1084" t="s">
        <v>34</v>
      </c>
      <c r="D112" s="1203">
        <v>6</v>
      </c>
      <c r="E112" s="1102" t="s">
        <v>487</v>
      </c>
      <c r="F112" s="1258">
        <f t="shared" si="17"/>
        <v>48384</v>
      </c>
      <c r="G112" s="1258">
        <f t="shared" si="18"/>
        <v>14000</v>
      </c>
      <c r="H112" s="1238">
        <v>14000</v>
      </c>
      <c r="I112" s="1239">
        <v>0</v>
      </c>
      <c r="J112" s="1239"/>
      <c r="K112" s="1239"/>
      <c r="L112" s="1239"/>
      <c r="M112" s="1258">
        <f t="shared" si="19"/>
        <v>34384</v>
      </c>
      <c r="N112" s="1240">
        <v>4900</v>
      </c>
      <c r="O112" s="1238">
        <v>3500</v>
      </c>
      <c r="P112" s="1240"/>
      <c r="Q112" s="1240">
        <v>4200</v>
      </c>
      <c r="R112" s="1255"/>
      <c r="S112" s="1240"/>
      <c r="T112" s="1240"/>
      <c r="U112" s="1240"/>
      <c r="V112" s="1240">
        <v>21784</v>
      </c>
      <c r="W112" s="1240"/>
      <c r="X112" s="1238"/>
      <c r="Y112" s="1240"/>
      <c r="AA112" s="1131"/>
    </row>
    <row r="113" spans="1:25" s="1088" customFormat="1" ht="36">
      <c r="B113" s="1127"/>
      <c r="C113" s="1084" t="s">
        <v>34</v>
      </c>
      <c r="D113" s="1203">
        <v>7</v>
      </c>
      <c r="E113" s="1102" t="s">
        <v>488</v>
      </c>
      <c r="F113" s="1258">
        <f t="shared" si="17"/>
        <v>131920</v>
      </c>
      <c r="G113" s="1258">
        <f t="shared" si="18"/>
        <v>121200</v>
      </c>
      <c r="H113" s="1238">
        <v>121200</v>
      </c>
      <c r="I113" s="1239"/>
      <c r="J113" s="1239"/>
      <c r="K113" s="1239"/>
      <c r="L113" s="1239"/>
      <c r="M113" s="1258">
        <f t="shared" si="19"/>
        <v>10720</v>
      </c>
      <c r="N113" s="1240">
        <v>1520</v>
      </c>
      <c r="O113" s="1238">
        <v>8000</v>
      </c>
      <c r="P113" s="1240"/>
      <c r="Q113" s="1240"/>
      <c r="R113" s="1255"/>
      <c r="S113" s="1240"/>
      <c r="T113" s="1240"/>
      <c r="U113" s="1240"/>
      <c r="V113" s="1240">
        <v>1200</v>
      </c>
      <c r="W113" s="1240"/>
      <c r="X113" s="1238"/>
      <c r="Y113" s="1240"/>
    </row>
    <row r="114" spans="1:25" s="1088" customFormat="1" ht="24">
      <c r="B114" s="1127"/>
      <c r="C114" s="1084" t="s">
        <v>34</v>
      </c>
      <c r="D114" s="1203">
        <v>8</v>
      </c>
      <c r="E114" s="1102" t="s">
        <v>232</v>
      </c>
      <c r="F114" s="1258">
        <f t="shared" si="17"/>
        <v>13320</v>
      </c>
      <c r="G114" s="1258">
        <f t="shared" si="18"/>
        <v>0</v>
      </c>
      <c r="H114" s="1238"/>
      <c r="I114" s="1239"/>
      <c r="J114" s="1239"/>
      <c r="K114" s="1239"/>
      <c r="L114" s="1239"/>
      <c r="M114" s="1258">
        <f t="shared" si="19"/>
        <v>13320</v>
      </c>
      <c r="N114" s="1240">
        <v>300</v>
      </c>
      <c r="O114" s="1238">
        <v>2500</v>
      </c>
      <c r="P114" s="1251"/>
      <c r="Q114" s="1240"/>
      <c r="R114" s="1240"/>
      <c r="S114" s="1240"/>
      <c r="T114" s="1240"/>
      <c r="U114" s="1240"/>
      <c r="V114" s="1240">
        <v>10520</v>
      </c>
      <c r="W114" s="1240"/>
      <c r="X114" s="1238"/>
      <c r="Y114" s="1240"/>
    </row>
    <row r="115" spans="1:25" s="1088" customFormat="1" ht="24">
      <c r="B115" s="1127"/>
      <c r="C115" s="1084" t="s">
        <v>34</v>
      </c>
      <c r="D115" s="1203">
        <v>9</v>
      </c>
      <c r="E115" s="1102" t="s">
        <v>489</v>
      </c>
      <c r="F115" s="1258">
        <f t="shared" si="17"/>
        <v>15080</v>
      </c>
      <c r="G115" s="1258">
        <f t="shared" si="18"/>
        <v>0</v>
      </c>
      <c r="H115" s="1238"/>
      <c r="I115" s="1239"/>
      <c r="J115" s="1239"/>
      <c r="K115" s="1239"/>
      <c r="L115" s="1239"/>
      <c r="M115" s="1258">
        <f t="shared" si="19"/>
        <v>15080</v>
      </c>
      <c r="N115" s="1240"/>
      <c r="O115" s="1238">
        <v>11000</v>
      </c>
      <c r="P115" s="1240">
        <v>1180</v>
      </c>
      <c r="Q115" s="1240"/>
      <c r="R115" s="1240"/>
      <c r="S115" s="1240"/>
      <c r="T115" s="1240"/>
      <c r="U115" s="1240"/>
      <c r="V115" s="1240">
        <v>2900</v>
      </c>
      <c r="W115" s="1240"/>
      <c r="X115" s="1238"/>
      <c r="Y115" s="1240"/>
    </row>
    <row r="116" spans="1:25" s="1088" customFormat="1" ht="36">
      <c r="B116" s="1127"/>
      <c r="C116" s="1084" t="s">
        <v>34</v>
      </c>
      <c r="D116" s="1203">
        <v>10</v>
      </c>
      <c r="E116" s="1132" t="s">
        <v>676</v>
      </c>
      <c r="F116" s="1258">
        <f t="shared" si="17"/>
        <v>1040</v>
      </c>
      <c r="G116" s="1258">
        <f t="shared" si="18"/>
        <v>0</v>
      </c>
      <c r="H116" s="1238"/>
      <c r="I116" s="1239"/>
      <c r="J116" s="1239"/>
      <c r="K116" s="1239"/>
      <c r="L116" s="1239"/>
      <c r="M116" s="1258">
        <f t="shared" si="19"/>
        <v>1040</v>
      </c>
      <c r="N116" s="1240">
        <v>1040</v>
      </c>
      <c r="O116" s="1238"/>
      <c r="P116" s="1240"/>
      <c r="Q116" s="1240"/>
      <c r="R116" s="1240"/>
      <c r="S116" s="1240"/>
      <c r="T116" s="1240"/>
      <c r="U116" s="1240"/>
      <c r="V116" s="1240"/>
      <c r="W116" s="1240"/>
      <c r="X116" s="1238"/>
      <c r="Y116" s="1240"/>
    </row>
    <row r="117" spans="1:25" s="1088" customFormat="1" ht="24">
      <c r="B117" s="1127"/>
      <c r="C117" s="1084" t="s">
        <v>34</v>
      </c>
      <c r="D117" s="1203">
        <v>11</v>
      </c>
      <c r="E117" s="1133" t="s">
        <v>677</v>
      </c>
      <c r="F117" s="1258">
        <f t="shared" ref="F117:F151" si="27">G117+M117</f>
        <v>5178</v>
      </c>
      <c r="G117" s="1258">
        <f t="shared" ref="G117:G149" si="28">SUM(H117:L117)</f>
        <v>0</v>
      </c>
      <c r="H117" s="1238"/>
      <c r="I117" s="1239"/>
      <c r="J117" s="1239"/>
      <c r="K117" s="1239"/>
      <c r="L117" s="1239"/>
      <c r="M117" s="1258">
        <f t="shared" ref="M117:M149" si="29">SUM(N117:Y117)</f>
        <v>5178</v>
      </c>
      <c r="N117" s="1240">
        <v>5178</v>
      </c>
      <c r="O117" s="1238"/>
      <c r="P117" s="1240"/>
      <c r="Q117" s="1240"/>
      <c r="R117" s="1240"/>
      <c r="S117" s="1240"/>
      <c r="T117" s="1240"/>
      <c r="U117" s="1240"/>
      <c r="V117" s="1240"/>
      <c r="W117" s="1240"/>
      <c r="X117" s="1238"/>
      <c r="Y117" s="1240"/>
    </row>
    <row r="118" spans="1:25" s="1464" customFormat="1" ht="24">
      <c r="B118" s="1465"/>
      <c r="C118" s="1466" t="s">
        <v>34</v>
      </c>
      <c r="D118" s="1467">
        <v>12</v>
      </c>
      <c r="E118" s="854" t="s">
        <v>89</v>
      </c>
      <c r="F118" s="1468">
        <f t="shared" si="27"/>
        <v>10000</v>
      </c>
      <c r="G118" s="1468">
        <f t="shared" si="28"/>
        <v>0</v>
      </c>
      <c r="H118" s="1469"/>
      <c r="I118" s="1470"/>
      <c r="J118" s="1470"/>
      <c r="K118" s="1470"/>
      <c r="L118" s="1470"/>
      <c r="M118" s="1468">
        <f t="shared" si="29"/>
        <v>10000</v>
      </c>
      <c r="N118" s="1471"/>
      <c r="O118" s="1469"/>
      <c r="P118" s="1471"/>
      <c r="Q118" s="1471"/>
      <c r="R118" s="1472"/>
      <c r="S118" s="1471"/>
      <c r="T118" s="1471"/>
      <c r="U118" s="1471"/>
      <c r="V118" s="1471">
        <v>10000</v>
      </c>
      <c r="W118" s="1471"/>
      <c r="X118" s="1469"/>
      <c r="Y118" s="1471"/>
    </row>
    <row r="119" spans="1:25" s="1088" customFormat="1" ht="24">
      <c r="B119" s="1127"/>
      <c r="C119" s="1084" t="s">
        <v>34</v>
      </c>
      <c r="D119" s="1203">
        <v>13</v>
      </c>
      <c r="E119" s="1102" t="s">
        <v>90</v>
      </c>
      <c r="F119" s="1258">
        <f t="shared" si="27"/>
        <v>3500</v>
      </c>
      <c r="G119" s="1258">
        <f t="shared" si="28"/>
        <v>0</v>
      </c>
      <c r="H119" s="1238"/>
      <c r="I119" s="1239"/>
      <c r="J119" s="1239"/>
      <c r="K119" s="1239"/>
      <c r="L119" s="1239"/>
      <c r="M119" s="1258">
        <f t="shared" si="29"/>
        <v>3500</v>
      </c>
      <c r="N119" s="1240"/>
      <c r="O119" s="1238">
        <v>3500</v>
      </c>
      <c r="P119" s="1240"/>
      <c r="Q119" s="1240"/>
      <c r="R119" s="1255"/>
      <c r="S119" s="1240"/>
      <c r="T119" s="1240"/>
      <c r="U119" s="1240"/>
      <c r="V119" s="1238"/>
      <c r="W119" s="1240"/>
      <c r="X119" s="1238"/>
      <c r="Y119" s="1240"/>
    </row>
    <row r="120" spans="1:25" s="1078" customFormat="1" ht="60">
      <c r="A120" s="1078" t="s">
        <v>809</v>
      </c>
      <c r="B120" s="1094" t="s">
        <v>248</v>
      </c>
      <c r="C120" s="1080" t="s">
        <v>34</v>
      </c>
      <c r="D120" s="1431"/>
      <c r="E120" s="1290" t="s">
        <v>24</v>
      </c>
      <c r="F120" s="1235">
        <f t="shared" si="27"/>
        <v>157700.204</v>
      </c>
      <c r="G120" s="1235">
        <f t="shared" si="28"/>
        <v>75000</v>
      </c>
      <c r="H120" s="1236">
        <f>SUM(H121:H123)</f>
        <v>75000</v>
      </c>
      <c r="I120" s="1236">
        <f t="shared" ref="I120:Y120" si="30">SUM(I121:I123)</f>
        <v>0</v>
      </c>
      <c r="J120" s="1236">
        <f t="shared" si="30"/>
        <v>0</v>
      </c>
      <c r="K120" s="1236">
        <f t="shared" si="30"/>
        <v>0</v>
      </c>
      <c r="L120" s="1236">
        <f t="shared" si="30"/>
        <v>0</v>
      </c>
      <c r="M120" s="1236">
        <f t="shared" si="30"/>
        <v>82700.203999999998</v>
      </c>
      <c r="N120" s="1236">
        <f t="shared" si="30"/>
        <v>41946</v>
      </c>
      <c r="O120" s="1236">
        <f t="shared" si="30"/>
        <v>4434.2039999999997</v>
      </c>
      <c r="P120" s="1236">
        <f t="shared" si="30"/>
        <v>2180</v>
      </c>
      <c r="Q120" s="1236">
        <f t="shared" si="30"/>
        <v>4600</v>
      </c>
      <c r="R120" s="1236">
        <f t="shared" si="30"/>
        <v>0</v>
      </c>
      <c r="S120" s="1236">
        <f t="shared" si="30"/>
        <v>1480</v>
      </c>
      <c r="T120" s="1236">
        <f t="shared" si="30"/>
        <v>10740</v>
      </c>
      <c r="U120" s="1236">
        <f t="shared" si="30"/>
        <v>0</v>
      </c>
      <c r="V120" s="1236">
        <f t="shared" si="30"/>
        <v>4260</v>
      </c>
      <c r="W120" s="1236">
        <f t="shared" si="30"/>
        <v>6050</v>
      </c>
      <c r="X120" s="1236">
        <f t="shared" si="30"/>
        <v>3360</v>
      </c>
      <c r="Y120" s="1236">
        <f t="shared" si="30"/>
        <v>3650</v>
      </c>
    </row>
    <row r="121" spans="1:25" s="1078" customFormat="1" ht="36">
      <c r="B121" s="1124"/>
      <c r="C121" s="1091" t="s">
        <v>34</v>
      </c>
      <c r="D121" s="1432">
        <v>1</v>
      </c>
      <c r="E121" s="1105" t="s">
        <v>863</v>
      </c>
      <c r="F121" s="1232">
        <f t="shared" si="27"/>
        <v>53640.203999999998</v>
      </c>
      <c r="G121" s="1232">
        <f t="shared" si="28"/>
        <v>40000</v>
      </c>
      <c r="H121" s="1266">
        <v>40000</v>
      </c>
      <c r="I121" s="1237"/>
      <c r="J121" s="1237"/>
      <c r="K121" s="1237"/>
      <c r="L121" s="1237"/>
      <c r="M121" s="1232">
        <f t="shared" si="29"/>
        <v>13640.204</v>
      </c>
      <c r="N121" s="1238">
        <v>246</v>
      </c>
      <c r="O121" s="1238">
        <f>2616.336+1817.868</f>
        <v>4434.2039999999997</v>
      </c>
      <c r="P121" s="1238">
        <v>1000</v>
      </c>
      <c r="Q121" s="1238"/>
      <c r="R121" s="1238"/>
      <c r="S121" s="1238"/>
      <c r="T121" s="1238">
        <v>1560</v>
      </c>
      <c r="U121" s="1238"/>
      <c r="V121" s="1238">
        <v>1500</v>
      </c>
      <c r="W121" s="1238">
        <v>2700</v>
      </c>
      <c r="X121" s="1238">
        <v>1200</v>
      </c>
      <c r="Y121" s="1238">
        <v>1000</v>
      </c>
    </row>
    <row r="122" spans="1:25" ht="36">
      <c r="B122" s="1134"/>
      <c r="C122" s="1091" t="s">
        <v>34</v>
      </c>
      <c r="D122" s="1432">
        <v>2</v>
      </c>
      <c r="E122" s="1097" t="s">
        <v>402</v>
      </c>
      <c r="F122" s="1232">
        <f t="shared" si="27"/>
        <v>60660</v>
      </c>
      <c r="G122" s="1232">
        <f t="shared" si="28"/>
        <v>35000</v>
      </c>
      <c r="H122" s="1244">
        <v>35000</v>
      </c>
      <c r="I122" s="1239"/>
      <c r="J122" s="1239"/>
      <c r="K122" s="1239"/>
      <c r="L122" s="1239"/>
      <c r="M122" s="1232">
        <f t="shared" si="29"/>
        <v>25660</v>
      </c>
      <c r="N122" s="1240">
        <v>3300</v>
      </c>
      <c r="O122" s="1238"/>
      <c r="P122" s="1240">
        <v>1180</v>
      </c>
      <c r="Q122" s="1240">
        <v>4600</v>
      </c>
      <c r="R122" s="1255"/>
      <c r="S122" s="1240">
        <v>1480</v>
      </c>
      <c r="T122" s="1240">
        <v>4180</v>
      </c>
      <c r="U122" s="1240"/>
      <c r="V122" s="1240">
        <v>2760</v>
      </c>
      <c r="W122" s="1238">
        <v>3350</v>
      </c>
      <c r="X122" s="1240">
        <v>2160</v>
      </c>
      <c r="Y122" s="1240">
        <v>2650</v>
      </c>
    </row>
    <row r="123" spans="1:25" ht="24">
      <c r="B123" s="1134"/>
      <c r="C123" s="1091" t="s">
        <v>34</v>
      </c>
      <c r="D123" s="1432">
        <v>3</v>
      </c>
      <c r="E123" s="1112" t="s">
        <v>864</v>
      </c>
      <c r="F123" s="1232">
        <f t="shared" si="27"/>
        <v>43400</v>
      </c>
      <c r="G123" s="1232">
        <f t="shared" si="28"/>
        <v>0</v>
      </c>
      <c r="H123" s="1238"/>
      <c r="I123" s="1239"/>
      <c r="J123" s="1239"/>
      <c r="K123" s="1239"/>
      <c r="L123" s="1239"/>
      <c r="M123" s="1232">
        <f t="shared" si="29"/>
        <v>43400</v>
      </c>
      <c r="N123" s="1240">
        <v>38400</v>
      </c>
      <c r="O123" s="1238"/>
      <c r="P123" s="1238"/>
      <c r="Q123" s="1238"/>
      <c r="R123" s="1238"/>
      <c r="S123" s="1238"/>
      <c r="T123" s="1238">
        <v>5000</v>
      </c>
      <c r="U123" s="1238"/>
      <c r="V123" s="1238"/>
      <c r="W123" s="1238"/>
      <c r="X123" s="1267"/>
      <c r="Y123" s="1267"/>
    </row>
    <row r="124" spans="1:25" s="1136" customFormat="1" ht="24">
      <c r="A124" s="1136">
        <v>4</v>
      </c>
      <c r="B124" s="1119">
        <v>4</v>
      </c>
      <c r="C124" s="1077" t="s">
        <v>34</v>
      </c>
      <c r="D124" s="1432"/>
      <c r="E124" s="1292" t="s">
        <v>240</v>
      </c>
      <c r="F124" s="1232">
        <f t="shared" si="27"/>
        <v>314298</v>
      </c>
      <c r="G124" s="1232">
        <f t="shared" si="28"/>
        <v>165000</v>
      </c>
      <c r="H124" s="1233">
        <f>SUM(H125:H132)</f>
        <v>165000</v>
      </c>
      <c r="I124" s="1234">
        <f>SUM(I125:I132)</f>
        <v>0</v>
      </c>
      <c r="J124" s="1234">
        <f>SUM(J125:J132)</f>
        <v>0</v>
      </c>
      <c r="K124" s="1234">
        <f>SUM(K125:K132)</f>
        <v>0</v>
      </c>
      <c r="L124" s="1234">
        <f>SUM(L125:L132)</f>
        <v>0</v>
      </c>
      <c r="M124" s="1232">
        <f t="shared" si="29"/>
        <v>149298</v>
      </c>
      <c r="N124" s="1233">
        <f t="shared" ref="N124:Y124" si="31">SUM(N125:N132)</f>
        <v>9800</v>
      </c>
      <c r="O124" s="1233">
        <f t="shared" si="31"/>
        <v>36200</v>
      </c>
      <c r="P124" s="1233">
        <f t="shared" si="31"/>
        <v>4680</v>
      </c>
      <c r="Q124" s="1233">
        <f t="shared" si="31"/>
        <v>6390</v>
      </c>
      <c r="R124" s="1233">
        <f t="shared" si="31"/>
        <v>2820</v>
      </c>
      <c r="S124" s="1233">
        <f t="shared" si="31"/>
        <v>9010</v>
      </c>
      <c r="T124" s="1233">
        <f t="shared" si="31"/>
        <v>12710</v>
      </c>
      <c r="U124" s="1233">
        <f t="shared" si="31"/>
        <v>9700</v>
      </c>
      <c r="V124" s="1233">
        <f t="shared" si="31"/>
        <v>13920</v>
      </c>
      <c r="W124" s="1233">
        <f t="shared" si="31"/>
        <v>29828</v>
      </c>
      <c r="X124" s="1233">
        <f t="shared" si="31"/>
        <v>6200</v>
      </c>
      <c r="Y124" s="1233">
        <f t="shared" si="31"/>
        <v>8040</v>
      </c>
    </row>
    <row r="125" spans="1:25" s="1088" customFormat="1" ht="60">
      <c r="B125" s="1092"/>
      <c r="C125" s="1084" t="s">
        <v>34</v>
      </c>
      <c r="D125" s="1432">
        <v>1</v>
      </c>
      <c r="E125" s="1105" t="s">
        <v>326</v>
      </c>
      <c r="F125" s="1263">
        <f t="shared" si="27"/>
        <v>48000</v>
      </c>
      <c r="G125" s="1263">
        <f t="shared" si="28"/>
        <v>40000</v>
      </c>
      <c r="H125" s="1247">
        <v>40000</v>
      </c>
      <c r="I125" s="1239"/>
      <c r="J125" s="1239"/>
      <c r="K125" s="1239"/>
      <c r="L125" s="1239"/>
      <c r="M125" s="1263">
        <f t="shared" si="29"/>
        <v>8000</v>
      </c>
      <c r="N125" s="1268"/>
      <c r="O125" s="1238">
        <v>8000</v>
      </c>
      <c r="P125" s="1240"/>
      <c r="Q125" s="1269"/>
      <c r="R125" s="1255">
        <v>0</v>
      </c>
      <c r="S125" s="1268"/>
      <c r="T125" s="1268"/>
      <c r="U125" s="1240"/>
      <c r="V125" s="1268"/>
      <c r="W125" s="1268"/>
      <c r="X125" s="1269"/>
      <c r="Y125" s="1268">
        <v>0</v>
      </c>
    </row>
    <row r="126" spans="1:25" s="1088" customFormat="1" ht="84">
      <c r="B126" s="1092"/>
      <c r="C126" s="1084" t="s">
        <v>34</v>
      </c>
      <c r="D126" s="1432">
        <v>2</v>
      </c>
      <c r="E126" s="1287" t="s">
        <v>327</v>
      </c>
      <c r="F126" s="1263">
        <f t="shared" si="27"/>
        <v>30000</v>
      </c>
      <c r="G126" s="1263">
        <f t="shared" si="28"/>
        <v>20000</v>
      </c>
      <c r="H126" s="1247">
        <v>20000</v>
      </c>
      <c r="I126" s="1239"/>
      <c r="J126" s="1239"/>
      <c r="K126" s="1239"/>
      <c r="L126" s="1239"/>
      <c r="M126" s="1263">
        <f t="shared" si="29"/>
        <v>10000</v>
      </c>
      <c r="N126" s="1268"/>
      <c r="O126" s="1238">
        <v>10000</v>
      </c>
      <c r="P126" s="1240"/>
      <c r="Q126" s="1269"/>
      <c r="R126" s="1255">
        <v>0</v>
      </c>
      <c r="S126" s="1268"/>
      <c r="T126" s="1268"/>
      <c r="U126" s="1240"/>
      <c r="V126" s="1268"/>
      <c r="W126" s="1268"/>
      <c r="X126" s="1269"/>
      <c r="Y126" s="1268">
        <v>0</v>
      </c>
    </row>
    <row r="127" spans="1:25" s="1088" customFormat="1">
      <c r="B127" s="1092"/>
      <c r="C127" s="1084" t="s">
        <v>34</v>
      </c>
      <c r="D127" s="1432">
        <v>3</v>
      </c>
      <c r="E127" s="1105" t="s">
        <v>92</v>
      </c>
      <c r="F127" s="1263">
        <f t="shared" si="27"/>
        <v>84988</v>
      </c>
      <c r="G127" s="1263">
        <f t="shared" si="28"/>
        <v>0</v>
      </c>
      <c r="H127" s="1247"/>
      <c r="I127" s="1239"/>
      <c r="J127" s="1239"/>
      <c r="K127" s="1239"/>
      <c r="L127" s="1239"/>
      <c r="M127" s="1263">
        <f t="shared" si="29"/>
        <v>84988</v>
      </c>
      <c r="N127" s="1269">
        <v>9800</v>
      </c>
      <c r="O127" s="1238">
        <v>8000</v>
      </c>
      <c r="P127" s="1240">
        <v>4680</v>
      </c>
      <c r="Q127" s="1269">
        <v>6390</v>
      </c>
      <c r="R127" s="1255">
        <v>2820</v>
      </c>
      <c r="S127" s="1269">
        <v>9010</v>
      </c>
      <c r="T127" s="1269">
        <v>4060</v>
      </c>
      <c r="U127" s="1240">
        <v>9700</v>
      </c>
      <c r="V127" s="1269">
        <v>2760</v>
      </c>
      <c r="W127" s="1269">
        <v>13528</v>
      </c>
      <c r="X127" s="1269">
        <f>3700+2500</f>
        <v>6200</v>
      </c>
      <c r="Y127" s="1269">
        <v>8040</v>
      </c>
    </row>
    <row r="128" spans="1:25" s="1088" customFormat="1">
      <c r="B128" s="1092"/>
      <c r="C128" s="1084" t="s">
        <v>34</v>
      </c>
      <c r="D128" s="1432">
        <v>4</v>
      </c>
      <c r="E128" s="1085" t="s">
        <v>290</v>
      </c>
      <c r="F128" s="1263">
        <f t="shared" si="27"/>
        <v>45000</v>
      </c>
      <c r="G128" s="1263">
        <f t="shared" si="28"/>
        <v>45000</v>
      </c>
      <c r="H128" s="1247">
        <v>45000</v>
      </c>
      <c r="I128" s="1239"/>
      <c r="J128" s="1239"/>
      <c r="K128" s="1239"/>
      <c r="L128" s="1239"/>
      <c r="M128" s="1263">
        <f t="shared" si="29"/>
        <v>0</v>
      </c>
      <c r="N128" s="1251"/>
      <c r="O128" s="1238"/>
      <c r="P128" s="1240"/>
      <c r="Q128" s="1251"/>
      <c r="R128" s="1255"/>
      <c r="S128" s="1251"/>
      <c r="T128" s="1251"/>
      <c r="U128" s="1251"/>
      <c r="V128" s="1238"/>
      <c r="W128" s="1251"/>
      <c r="X128" s="1251"/>
      <c r="Y128" s="1251"/>
    </row>
    <row r="129" spans="1:53" s="1088" customFormat="1">
      <c r="B129" s="1092"/>
      <c r="C129" s="1084" t="s">
        <v>34</v>
      </c>
      <c r="D129" s="1432">
        <v>5</v>
      </c>
      <c r="E129" s="1085" t="s">
        <v>292</v>
      </c>
      <c r="F129" s="1263">
        <f t="shared" si="27"/>
        <v>60000</v>
      </c>
      <c r="G129" s="1263">
        <f t="shared" si="28"/>
        <v>60000</v>
      </c>
      <c r="H129" s="1247">
        <v>60000</v>
      </c>
      <c r="I129" s="1239"/>
      <c r="J129" s="1239"/>
      <c r="K129" s="1239"/>
      <c r="L129" s="1239"/>
      <c r="M129" s="1263">
        <f t="shared" si="29"/>
        <v>0</v>
      </c>
      <c r="N129" s="1251"/>
      <c r="O129" s="1238"/>
      <c r="P129" s="1240"/>
      <c r="Q129" s="1251"/>
      <c r="R129" s="1240"/>
      <c r="S129" s="1251"/>
      <c r="T129" s="1251"/>
      <c r="U129" s="1251"/>
      <c r="V129" s="1238"/>
      <c r="W129" s="1251"/>
      <c r="X129" s="1251"/>
      <c r="Y129" s="1251"/>
    </row>
    <row r="130" spans="1:53" s="1088" customFormat="1" ht="60">
      <c r="B130" s="1092"/>
      <c r="C130" s="1084" t="s">
        <v>34</v>
      </c>
      <c r="D130" s="1432">
        <v>6</v>
      </c>
      <c r="E130" s="1137" t="s">
        <v>346</v>
      </c>
      <c r="F130" s="1263">
        <f t="shared" si="27"/>
        <v>19210</v>
      </c>
      <c r="G130" s="1263">
        <f t="shared" si="28"/>
        <v>0</v>
      </c>
      <c r="H130" s="1247"/>
      <c r="I130" s="1239"/>
      <c r="J130" s="1239"/>
      <c r="K130" s="1239"/>
      <c r="L130" s="1239"/>
      <c r="M130" s="1263">
        <f t="shared" si="29"/>
        <v>19210</v>
      </c>
      <c r="N130" s="1269"/>
      <c r="O130" s="1238">
        <v>0</v>
      </c>
      <c r="P130" s="1240"/>
      <c r="Q130" s="1269"/>
      <c r="R130" s="1255">
        <v>0</v>
      </c>
      <c r="S130" s="1269"/>
      <c r="T130" s="1269">
        <v>1050</v>
      </c>
      <c r="U130" s="1240"/>
      <c r="V130" s="1240">
        <v>11160</v>
      </c>
      <c r="W130" s="1269">
        <v>7000</v>
      </c>
      <c r="X130" s="1269"/>
      <c r="Y130" s="1269">
        <v>0</v>
      </c>
    </row>
    <row r="131" spans="1:53" s="1088" customFormat="1">
      <c r="B131" s="1092"/>
      <c r="C131" s="1084" t="s">
        <v>34</v>
      </c>
      <c r="D131" s="1432">
        <v>7</v>
      </c>
      <c r="E131" s="1137" t="s">
        <v>347</v>
      </c>
      <c r="F131" s="1263">
        <f t="shared" si="27"/>
        <v>5100</v>
      </c>
      <c r="G131" s="1263">
        <f t="shared" si="28"/>
        <v>0</v>
      </c>
      <c r="H131" s="1247"/>
      <c r="I131" s="1239"/>
      <c r="J131" s="1239"/>
      <c r="K131" s="1239"/>
      <c r="L131" s="1239"/>
      <c r="M131" s="1263">
        <f t="shared" si="29"/>
        <v>5100</v>
      </c>
      <c r="N131" s="1268"/>
      <c r="O131" s="1238">
        <v>0</v>
      </c>
      <c r="P131" s="1240"/>
      <c r="Q131" s="1269"/>
      <c r="R131" s="1255">
        <v>0</v>
      </c>
      <c r="S131" s="1268"/>
      <c r="T131" s="1268"/>
      <c r="U131" s="1240"/>
      <c r="V131" s="1268"/>
      <c r="W131" s="1268">
        <v>5100</v>
      </c>
      <c r="X131" s="1268"/>
      <c r="Y131" s="1268">
        <v>0</v>
      </c>
    </row>
    <row r="132" spans="1:53" s="1088" customFormat="1" ht="24">
      <c r="B132" s="1092"/>
      <c r="C132" s="1084" t="s">
        <v>34</v>
      </c>
      <c r="D132" s="1432">
        <v>8</v>
      </c>
      <c r="E132" s="1102" t="s">
        <v>94</v>
      </c>
      <c r="F132" s="1263">
        <f t="shared" si="27"/>
        <v>22000</v>
      </c>
      <c r="G132" s="1263">
        <f t="shared" si="28"/>
        <v>0</v>
      </c>
      <c r="H132" s="1247"/>
      <c r="I132" s="1239"/>
      <c r="J132" s="1239"/>
      <c r="K132" s="1239"/>
      <c r="L132" s="1239"/>
      <c r="M132" s="1263">
        <f t="shared" si="29"/>
        <v>22000</v>
      </c>
      <c r="N132" s="1251"/>
      <c r="O132" s="1238">
        <v>10200</v>
      </c>
      <c r="P132" s="1240"/>
      <c r="Q132" s="1240"/>
      <c r="R132" s="1255">
        <v>0</v>
      </c>
      <c r="S132" s="1251"/>
      <c r="T132" s="1251">
        <v>7600</v>
      </c>
      <c r="U132" s="1251"/>
      <c r="V132" s="1238"/>
      <c r="W132" s="1251">
        <v>4200</v>
      </c>
      <c r="X132" s="1251"/>
      <c r="Y132" s="1251">
        <v>0</v>
      </c>
    </row>
    <row r="133" spans="1:53" s="1075" customFormat="1">
      <c r="A133" s="1075">
        <v>5</v>
      </c>
      <c r="B133" s="1093">
        <v>5</v>
      </c>
      <c r="C133" s="1077" t="s">
        <v>34</v>
      </c>
      <c r="D133" s="1303"/>
      <c r="E133" s="1286" t="s">
        <v>236</v>
      </c>
      <c r="F133" s="1249">
        <f t="shared" si="27"/>
        <v>10404126</v>
      </c>
      <c r="G133" s="1249">
        <f t="shared" si="28"/>
        <v>1230070</v>
      </c>
      <c r="H133" s="1233">
        <f>SUM(H134:H149)</f>
        <v>1230070</v>
      </c>
      <c r="I133" s="1234">
        <f>SUM(I134:I149)</f>
        <v>0</v>
      </c>
      <c r="J133" s="1234">
        <f>SUM(J134:J149)</f>
        <v>0</v>
      </c>
      <c r="K133" s="1234">
        <f>SUM(K134:K149)</f>
        <v>0</v>
      </c>
      <c r="L133" s="1234">
        <f>SUM(L134:L149)</f>
        <v>0</v>
      </c>
      <c r="M133" s="1249">
        <f t="shared" si="29"/>
        <v>9174056</v>
      </c>
      <c r="N133" s="1233">
        <f t="shared" ref="N133:Y133" si="32">SUM(N134:N149)</f>
        <v>1372983</v>
      </c>
      <c r="O133" s="1233">
        <f t="shared" si="32"/>
        <v>643210</v>
      </c>
      <c r="P133" s="1233">
        <f t="shared" si="32"/>
        <v>801695</v>
      </c>
      <c r="Q133" s="1233">
        <f t="shared" si="32"/>
        <v>1123086</v>
      </c>
      <c r="R133" s="1233">
        <f t="shared" si="32"/>
        <v>1101526</v>
      </c>
      <c r="S133" s="1233">
        <f t="shared" si="32"/>
        <v>711665</v>
      </c>
      <c r="T133" s="1233">
        <f t="shared" si="32"/>
        <v>762900</v>
      </c>
      <c r="U133" s="1233">
        <f t="shared" si="32"/>
        <v>284308</v>
      </c>
      <c r="V133" s="1233">
        <f t="shared" si="32"/>
        <v>864591</v>
      </c>
      <c r="W133" s="1233">
        <f t="shared" si="32"/>
        <v>536240</v>
      </c>
      <c r="X133" s="1233">
        <f t="shared" si="32"/>
        <v>471069</v>
      </c>
      <c r="Y133" s="1233">
        <f t="shared" si="32"/>
        <v>500783</v>
      </c>
    </row>
    <row r="134" spans="1:53" s="1136" customFormat="1">
      <c r="B134" s="1134"/>
      <c r="C134" s="1091" t="s">
        <v>34</v>
      </c>
      <c r="D134" s="1432">
        <v>1</v>
      </c>
      <c r="E134" s="1293" t="s">
        <v>453</v>
      </c>
      <c r="F134" s="1232">
        <f t="shared" si="27"/>
        <v>245442</v>
      </c>
      <c r="G134" s="1232">
        <f t="shared" si="28"/>
        <v>40000</v>
      </c>
      <c r="H134" s="1254">
        <v>40000</v>
      </c>
      <c r="I134" s="1239"/>
      <c r="J134" s="1239"/>
      <c r="K134" s="1239"/>
      <c r="L134" s="1239"/>
      <c r="M134" s="1232">
        <f t="shared" si="29"/>
        <v>205442</v>
      </c>
      <c r="N134" s="1238">
        <v>22500</v>
      </c>
      <c r="O134" s="1238">
        <v>8000</v>
      </c>
      <c r="P134" s="1254">
        <v>24700</v>
      </c>
      <c r="Q134" s="1254">
        <v>7800</v>
      </c>
      <c r="R134" s="1254">
        <v>8100</v>
      </c>
      <c r="S134" s="1254">
        <v>8280</v>
      </c>
      <c r="T134" s="1254">
        <v>47000</v>
      </c>
      <c r="U134" s="1254">
        <v>22302</v>
      </c>
      <c r="V134" s="1254">
        <v>31300</v>
      </c>
      <c r="W134" s="1254">
        <v>9800</v>
      </c>
      <c r="X134" s="1254">
        <v>7200</v>
      </c>
      <c r="Y134" s="1238">
        <v>8460</v>
      </c>
      <c r="Z134" s="1140"/>
      <c r="AA134" s="1140"/>
      <c r="AB134" s="1140"/>
      <c r="AC134" s="1140"/>
      <c r="AD134" s="1140"/>
      <c r="AE134" s="1140"/>
      <c r="AF134" s="1140"/>
      <c r="AG134" s="1140"/>
      <c r="AH134" s="1140"/>
      <c r="AI134" s="1140"/>
      <c r="AJ134" s="1140"/>
      <c r="AK134" s="1140"/>
      <c r="AL134" s="1140"/>
      <c r="AM134" s="1140"/>
      <c r="AN134" s="1140"/>
      <c r="AO134" s="1140"/>
      <c r="AP134" s="1140"/>
      <c r="AQ134" s="1140"/>
      <c r="AR134" s="1140"/>
      <c r="AS134" s="1140"/>
      <c r="AT134" s="1140"/>
      <c r="AU134" s="1140"/>
      <c r="AV134" s="1140"/>
      <c r="AW134" s="1140"/>
      <c r="AX134" s="1140"/>
      <c r="AY134" s="1140"/>
      <c r="AZ134" s="1140"/>
      <c r="BA134" s="1140"/>
    </row>
    <row r="135" spans="1:53" s="1142" customFormat="1" ht="48">
      <c r="B135" s="1134"/>
      <c r="C135" s="1091" t="s">
        <v>34</v>
      </c>
      <c r="D135" s="1432">
        <v>2</v>
      </c>
      <c r="E135" s="1112" t="s">
        <v>454</v>
      </c>
      <c r="F135" s="1232">
        <f t="shared" si="27"/>
        <v>509658</v>
      </c>
      <c r="G135" s="1232">
        <f t="shared" si="28"/>
        <v>100000</v>
      </c>
      <c r="H135" s="1254">
        <v>100000</v>
      </c>
      <c r="I135" s="1243"/>
      <c r="J135" s="1243"/>
      <c r="K135" s="1243"/>
      <c r="L135" s="1243"/>
      <c r="M135" s="1232">
        <f t="shared" si="29"/>
        <v>409658</v>
      </c>
      <c r="N135" s="1238">
        <v>11195</v>
      </c>
      <c r="O135" s="1242">
        <v>20000</v>
      </c>
      <c r="P135" s="1254"/>
      <c r="Q135" s="1254">
        <v>14240</v>
      </c>
      <c r="R135" s="1244">
        <v>5120</v>
      </c>
      <c r="S135" s="1254">
        <v>16272</v>
      </c>
      <c r="T135" s="1254">
        <v>25000</v>
      </c>
      <c r="U135" s="1254">
        <v>186831</v>
      </c>
      <c r="V135" s="1254">
        <v>25000</v>
      </c>
      <c r="W135" s="1254">
        <v>34000</v>
      </c>
      <c r="X135" s="1254">
        <v>36000</v>
      </c>
      <c r="Y135" s="1238">
        <v>36000</v>
      </c>
      <c r="Z135" s="1143"/>
      <c r="AA135" s="1143"/>
      <c r="AB135" s="1143"/>
      <c r="AC135" s="1143"/>
      <c r="AD135" s="1143"/>
      <c r="AE135" s="1143"/>
      <c r="AF135" s="1143"/>
      <c r="AG135" s="1143"/>
      <c r="AH135" s="1143"/>
      <c r="AI135" s="1143"/>
      <c r="AJ135" s="1143"/>
      <c r="AK135" s="1143"/>
      <c r="AL135" s="1143"/>
      <c r="AM135" s="1143"/>
      <c r="AN135" s="1143"/>
      <c r="AO135" s="1143"/>
      <c r="AP135" s="1143"/>
      <c r="AQ135" s="1143"/>
      <c r="AR135" s="1143"/>
      <c r="AS135" s="1143"/>
      <c r="AT135" s="1143"/>
      <c r="AU135" s="1143"/>
      <c r="AV135" s="1143"/>
      <c r="AW135" s="1143"/>
      <c r="AX135" s="1143"/>
      <c r="AY135" s="1143"/>
      <c r="AZ135" s="1143"/>
      <c r="BA135" s="1143"/>
    </row>
    <row r="136" spans="1:53" s="1142" customFormat="1" ht="24">
      <c r="B136" s="1134"/>
      <c r="C136" s="1091" t="s">
        <v>34</v>
      </c>
      <c r="D136" s="1432">
        <v>3</v>
      </c>
      <c r="E136" s="1112" t="s">
        <v>98</v>
      </c>
      <c r="F136" s="1232">
        <f t="shared" si="27"/>
        <v>375288</v>
      </c>
      <c r="G136" s="1232">
        <f t="shared" si="28"/>
        <v>0</v>
      </c>
      <c r="H136" s="1254">
        <v>0</v>
      </c>
      <c r="I136" s="1243"/>
      <c r="J136" s="1243"/>
      <c r="K136" s="1243"/>
      <c r="L136" s="1243"/>
      <c r="M136" s="1232">
        <f t="shared" si="29"/>
        <v>375288</v>
      </c>
      <c r="N136" s="1238">
        <v>36415</v>
      </c>
      <c r="O136" s="1242">
        <v>20000</v>
      </c>
      <c r="P136" s="1254">
        <v>26000</v>
      </c>
      <c r="Q136" s="1254">
        <v>45000</v>
      </c>
      <c r="R136" s="1254">
        <v>38500</v>
      </c>
      <c r="S136" s="1254">
        <v>19448</v>
      </c>
      <c r="T136" s="1254">
        <v>51000</v>
      </c>
      <c r="U136" s="1254">
        <v>29325</v>
      </c>
      <c r="V136" s="1254">
        <v>60000</v>
      </c>
      <c r="W136" s="1254">
        <v>20000</v>
      </c>
      <c r="X136" s="1254">
        <v>20000</v>
      </c>
      <c r="Y136" s="1238">
        <v>9600</v>
      </c>
      <c r="Z136" s="1143"/>
      <c r="AA136" s="1143"/>
      <c r="AB136" s="1143"/>
      <c r="AC136" s="1143"/>
      <c r="AD136" s="1143"/>
      <c r="AE136" s="1143"/>
      <c r="AF136" s="1143"/>
      <c r="AG136" s="1143"/>
      <c r="AH136" s="1143"/>
      <c r="AI136" s="1143"/>
      <c r="AJ136" s="1143"/>
      <c r="AK136" s="1143"/>
      <c r="AL136" s="1143"/>
      <c r="AM136" s="1143"/>
      <c r="AN136" s="1143"/>
      <c r="AO136" s="1143"/>
      <c r="AP136" s="1143"/>
      <c r="AQ136" s="1143"/>
      <c r="AR136" s="1143"/>
      <c r="AS136" s="1143"/>
      <c r="AT136" s="1143"/>
      <c r="AU136" s="1143"/>
      <c r="AV136" s="1143"/>
      <c r="AW136" s="1143"/>
      <c r="AX136" s="1143"/>
      <c r="AY136" s="1143"/>
      <c r="AZ136" s="1143"/>
      <c r="BA136" s="1143"/>
    </row>
    <row r="137" spans="1:53" s="1145" customFormat="1" ht="36">
      <c r="B137" s="1134"/>
      <c r="C137" s="1091" t="s">
        <v>34</v>
      </c>
      <c r="D137" s="1432">
        <v>4</v>
      </c>
      <c r="E137" s="1112" t="s">
        <v>204</v>
      </c>
      <c r="F137" s="1232">
        <f t="shared" si="27"/>
        <v>207500</v>
      </c>
      <c r="G137" s="1232">
        <f t="shared" si="28"/>
        <v>0</v>
      </c>
      <c r="H137" s="1254">
        <v>0</v>
      </c>
      <c r="I137" s="1243"/>
      <c r="J137" s="1243"/>
      <c r="K137" s="1243"/>
      <c r="L137" s="1243"/>
      <c r="M137" s="1232">
        <f t="shared" si="29"/>
        <v>207500</v>
      </c>
      <c r="N137" s="1240">
        <v>10000</v>
      </c>
      <c r="O137" s="1242">
        <v>50000</v>
      </c>
      <c r="P137" s="1254">
        <v>20000</v>
      </c>
      <c r="Q137" s="1254">
        <v>17000</v>
      </c>
      <c r="R137" s="1254">
        <v>10000</v>
      </c>
      <c r="S137" s="1254"/>
      <c r="T137" s="1254">
        <v>25000</v>
      </c>
      <c r="U137" s="1254">
        <v>5000</v>
      </c>
      <c r="V137" s="1242">
        <v>10000</v>
      </c>
      <c r="W137" s="1254">
        <v>20000</v>
      </c>
      <c r="X137" s="1254">
        <v>20000</v>
      </c>
      <c r="Y137" s="1238">
        <v>20500</v>
      </c>
      <c r="Z137" s="1144"/>
      <c r="AA137" s="1144"/>
      <c r="AB137" s="1144"/>
      <c r="AC137" s="1144"/>
      <c r="AD137" s="1144"/>
      <c r="AE137" s="1144"/>
      <c r="AF137" s="1144"/>
      <c r="AG137" s="1144"/>
      <c r="AH137" s="1144"/>
      <c r="AI137" s="1144"/>
      <c r="AJ137" s="1144"/>
      <c r="AK137" s="1144"/>
      <c r="AL137" s="1144"/>
      <c r="AM137" s="1144"/>
      <c r="AN137" s="1144"/>
      <c r="AO137" s="1144"/>
      <c r="AP137" s="1144"/>
      <c r="AQ137" s="1144"/>
      <c r="AR137" s="1144"/>
      <c r="AS137" s="1144"/>
      <c r="AT137" s="1144"/>
      <c r="AU137" s="1144"/>
      <c r="AV137" s="1144"/>
      <c r="AW137" s="1144"/>
      <c r="AX137" s="1144"/>
      <c r="AY137" s="1144"/>
      <c r="AZ137" s="1144"/>
      <c r="BA137" s="1144"/>
    </row>
    <row r="138" spans="1:53" s="1145" customFormat="1">
      <c r="B138" s="1134"/>
      <c r="C138" s="1091" t="s">
        <v>34</v>
      </c>
      <c r="D138" s="1432">
        <v>5</v>
      </c>
      <c r="E138" s="1087" t="s">
        <v>290</v>
      </c>
      <c r="F138" s="1232">
        <f t="shared" si="27"/>
        <v>13500</v>
      </c>
      <c r="G138" s="1232">
        <f t="shared" si="28"/>
        <v>0</v>
      </c>
      <c r="H138" s="1254">
        <v>0</v>
      </c>
      <c r="I138" s="1243"/>
      <c r="J138" s="1243"/>
      <c r="K138" s="1243"/>
      <c r="L138" s="1243"/>
      <c r="M138" s="1232">
        <f t="shared" si="29"/>
        <v>13500</v>
      </c>
      <c r="N138" s="1242"/>
      <c r="O138" s="1242"/>
      <c r="P138" s="1244"/>
      <c r="Q138" s="1254">
        <v>0</v>
      </c>
      <c r="R138" s="1244"/>
      <c r="S138" s="1254"/>
      <c r="T138" s="1254">
        <v>10000</v>
      </c>
      <c r="U138" s="1242"/>
      <c r="V138" s="1242"/>
      <c r="W138" s="1254"/>
      <c r="X138" s="1254">
        <v>3500</v>
      </c>
      <c r="Y138" s="1238">
        <v>0</v>
      </c>
      <c r="Z138" s="1144"/>
      <c r="AA138" s="1144"/>
      <c r="AB138" s="1144"/>
      <c r="AC138" s="1144"/>
      <c r="AD138" s="1144"/>
      <c r="AE138" s="1144"/>
      <c r="AF138" s="1144"/>
      <c r="AG138" s="1144"/>
      <c r="AH138" s="1144"/>
      <c r="AI138" s="1144"/>
      <c r="AJ138" s="1144"/>
      <c r="AK138" s="1144"/>
      <c r="AL138" s="1144"/>
      <c r="AM138" s="1144"/>
      <c r="AN138" s="1144"/>
      <c r="AO138" s="1144"/>
      <c r="AP138" s="1144"/>
      <c r="AQ138" s="1144"/>
      <c r="AR138" s="1144"/>
      <c r="AS138" s="1144"/>
      <c r="AT138" s="1144"/>
      <c r="AU138" s="1144"/>
      <c r="AV138" s="1144"/>
      <c r="AW138" s="1144"/>
      <c r="AX138" s="1144"/>
      <c r="AY138" s="1144"/>
      <c r="AZ138" s="1144"/>
      <c r="BA138" s="1144"/>
    </row>
    <row r="139" spans="1:53" s="1145" customFormat="1" ht="36">
      <c r="B139" s="1134"/>
      <c r="C139" s="1091" t="s">
        <v>34</v>
      </c>
      <c r="D139" s="1432">
        <v>6</v>
      </c>
      <c r="E139" s="1085" t="s">
        <v>456</v>
      </c>
      <c r="F139" s="1232">
        <f t="shared" si="27"/>
        <v>5720085</v>
      </c>
      <c r="G139" s="1232">
        <f t="shared" si="28"/>
        <v>394070</v>
      </c>
      <c r="H139" s="1254">
        <v>394070</v>
      </c>
      <c r="I139" s="1243"/>
      <c r="J139" s="1243"/>
      <c r="K139" s="1243"/>
      <c r="L139" s="1243"/>
      <c r="M139" s="1232">
        <f t="shared" si="29"/>
        <v>5326015</v>
      </c>
      <c r="N139" s="1242">
        <v>1006566</v>
      </c>
      <c r="O139" s="1242">
        <v>330210</v>
      </c>
      <c r="P139" s="1244">
        <v>567000</v>
      </c>
      <c r="Q139" s="1254">
        <v>932501</v>
      </c>
      <c r="R139" s="1244">
        <v>761493</v>
      </c>
      <c r="S139" s="1254">
        <v>513670</v>
      </c>
      <c r="T139" s="1254">
        <v>168000</v>
      </c>
      <c r="U139" s="1242"/>
      <c r="V139" s="1242">
        <v>472188</v>
      </c>
      <c r="W139" s="1254">
        <v>258650</v>
      </c>
      <c r="X139" s="1254">
        <v>291850</v>
      </c>
      <c r="Y139" s="1238">
        <v>23887</v>
      </c>
      <c r="Z139" s="1144"/>
      <c r="AA139" s="1144"/>
      <c r="AB139" s="1144"/>
      <c r="AC139" s="1144"/>
      <c r="AD139" s="1144"/>
      <c r="AE139" s="1144"/>
      <c r="AF139" s="1144"/>
      <c r="AG139" s="1144"/>
      <c r="AH139" s="1144"/>
      <c r="AI139" s="1144"/>
      <c r="AJ139" s="1144"/>
      <c r="AK139" s="1144"/>
      <c r="AL139" s="1144"/>
      <c r="AM139" s="1144"/>
      <c r="AN139" s="1144"/>
      <c r="AO139" s="1144"/>
      <c r="AP139" s="1144"/>
      <c r="AQ139" s="1144"/>
      <c r="AR139" s="1144"/>
      <c r="AS139" s="1144"/>
      <c r="AT139" s="1144"/>
      <c r="AU139" s="1144"/>
      <c r="AV139" s="1144"/>
      <c r="AW139" s="1144"/>
      <c r="AX139" s="1144"/>
      <c r="AY139" s="1144"/>
      <c r="AZ139" s="1144"/>
      <c r="BA139" s="1144"/>
    </row>
    <row r="140" spans="1:53" s="1145" customFormat="1">
      <c r="B140" s="1134"/>
      <c r="C140" s="1091" t="s">
        <v>34</v>
      </c>
      <c r="D140" s="1432">
        <v>7</v>
      </c>
      <c r="E140" s="1087" t="s">
        <v>611</v>
      </c>
      <c r="F140" s="1232">
        <f t="shared" si="27"/>
        <v>1017334</v>
      </c>
      <c r="G140" s="1232">
        <f t="shared" si="28"/>
        <v>0</v>
      </c>
      <c r="H140" s="1254">
        <v>0</v>
      </c>
      <c r="I140" s="1243"/>
      <c r="J140" s="1243"/>
      <c r="K140" s="1243"/>
      <c r="L140" s="1243"/>
      <c r="M140" s="1232">
        <f t="shared" si="29"/>
        <v>1017334</v>
      </c>
      <c r="N140" s="1242">
        <v>85027</v>
      </c>
      <c r="O140" s="1242">
        <v>50000</v>
      </c>
      <c r="P140" s="1244">
        <v>116995</v>
      </c>
      <c r="Q140" s="1254"/>
      <c r="R140" s="1244">
        <v>142133</v>
      </c>
      <c r="S140" s="1254">
        <v>56595</v>
      </c>
      <c r="T140" s="1254"/>
      <c r="U140" s="1242"/>
      <c r="V140" s="1242">
        <v>121888</v>
      </c>
      <c r="W140" s="1254">
        <v>72390</v>
      </c>
      <c r="X140" s="1254">
        <v>40650</v>
      </c>
      <c r="Y140" s="1238">
        <v>331656</v>
      </c>
      <c r="Z140" s="1144"/>
      <c r="AA140" s="1144"/>
      <c r="AB140" s="1144"/>
      <c r="AC140" s="1144"/>
      <c r="AD140" s="1144"/>
      <c r="AE140" s="1144"/>
      <c r="AF140" s="1144"/>
      <c r="AG140" s="1144"/>
      <c r="AH140" s="1144"/>
      <c r="AI140" s="1144"/>
      <c r="AJ140" s="1144"/>
      <c r="AK140" s="1144"/>
      <c r="AL140" s="1144"/>
      <c r="AM140" s="1144"/>
      <c r="AN140" s="1144"/>
      <c r="AO140" s="1144"/>
      <c r="AP140" s="1144"/>
      <c r="AQ140" s="1144"/>
      <c r="AR140" s="1144"/>
      <c r="AS140" s="1144"/>
      <c r="AT140" s="1144"/>
      <c r="AU140" s="1144"/>
      <c r="AV140" s="1144"/>
      <c r="AW140" s="1144"/>
      <c r="AX140" s="1144"/>
      <c r="AY140" s="1144"/>
      <c r="AZ140" s="1144"/>
      <c r="BA140" s="1144"/>
    </row>
    <row r="141" spans="1:53" s="1145" customFormat="1" ht="36">
      <c r="B141" s="1134"/>
      <c r="C141" s="1091" t="s">
        <v>34</v>
      </c>
      <c r="D141" s="1432">
        <v>8</v>
      </c>
      <c r="E141" s="1086" t="s">
        <v>458</v>
      </c>
      <c r="F141" s="1232">
        <f t="shared" si="27"/>
        <v>58200</v>
      </c>
      <c r="G141" s="1232">
        <f t="shared" si="28"/>
        <v>50000</v>
      </c>
      <c r="H141" s="1254">
        <v>50000</v>
      </c>
      <c r="I141" s="1243"/>
      <c r="J141" s="1243"/>
      <c r="K141" s="1243"/>
      <c r="L141" s="1243"/>
      <c r="M141" s="1232">
        <f t="shared" si="29"/>
        <v>8200</v>
      </c>
      <c r="N141" s="1242">
        <v>0</v>
      </c>
      <c r="O141" s="1242">
        <v>0</v>
      </c>
      <c r="P141" s="1244"/>
      <c r="Q141" s="1254">
        <v>0</v>
      </c>
      <c r="R141" s="1244"/>
      <c r="S141" s="1254"/>
      <c r="T141" s="1254">
        <v>5700</v>
      </c>
      <c r="U141" s="1242"/>
      <c r="V141" s="1242">
        <v>2500</v>
      </c>
      <c r="W141" s="1254"/>
      <c r="X141" s="1254"/>
      <c r="Y141" s="1238">
        <v>0</v>
      </c>
      <c r="Z141" s="1144"/>
      <c r="AA141" s="1144"/>
      <c r="AB141" s="1144"/>
      <c r="AC141" s="1144"/>
      <c r="AD141" s="1144"/>
      <c r="AE141" s="1144"/>
      <c r="AF141" s="1144"/>
      <c r="AG141" s="1144"/>
      <c r="AH141" s="1144"/>
      <c r="AI141" s="1144"/>
      <c r="AJ141" s="1144"/>
      <c r="AK141" s="1144"/>
      <c r="AL141" s="1144"/>
      <c r="AM141" s="1144"/>
      <c r="AN141" s="1144"/>
      <c r="AO141" s="1144"/>
      <c r="AP141" s="1144"/>
      <c r="AQ141" s="1144"/>
      <c r="AR141" s="1144"/>
      <c r="AS141" s="1144"/>
      <c r="AT141" s="1144"/>
      <c r="AU141" s="1144"/>
      <c r="AV141" s="1144"/>
      <c r="AW141" s="1144"/>
      <c r="AX141" s="1144"/>
      <c r="AY141" s="1144"/>
      <c r="AZ141" s="1144"/>
      <c r="BA141" s="1144"/>
    </row>
    <row r="142" spans="1:53" s="1145" customFormat="1" ht="24">
      <c r="B142" s="1134"/>
      <c r="C142" s="1091" t="s">
        <v>34</v>
      </c>
      <c r="D142" s="1432">
        <v>9</v>
      </c>
      <c r="E142" s="1087" t="s">
        <v>459</v>
      </c>
      <c r="F142" s="1232">
        <f t="shared" si="27"/>
        <v>22050</v>
      </c>
      <c r="G142" s="1232">
        <f t="shared" si="28"/>
        <v>0</v>
      </c>
      <c r="H142" s="1254">
        <v>0</v>
      </c>
      <c r="I142" s="1243"/>
      <c r="J142" s="1243"/>
      <c r="K142" s="1243"/>
      <c r="L142" s="1243"/>
      <c r="M142" s="1232">
        <f t="shared" si="29"/>
        <v>22050</v>
      </c>
      <c r="N142" s="1242">
        <v>15000</v>
      </c>
      <c r="O142" s="1242">
        <v>1000</v>
      </c>
      <c r="P142" s="1244"/>
      <c r="Q142" s="1254">
        <v>0</v>
      </c>
      <c r="R142" s="1244">
        <v>2000</v>
      </c>
      <c r="S142" s="1254"/>
      <c r="T142" s="1254">
        <v>2700</v>
      </c>
      <c r="U142" s="1242">
        <v>450</v>
      </c>
      <c r="V142" s="1242"/>
      <c r="W142" s="1254"/>
      <c r="X142" s="1254"/>
      <c r="Y142" s="1238">
        <v>900</v>
      </c>
      <c r="Z142" s="1144"/>
      <c r="AA142" s="1144"/>
      <c r="AB142" s="1144"/>
      <c r="AC142" s="1144"/>
      <c r="AD142" s="1144"/>
      <c r="AE142" s="1144"/>
      <c r="AF142" s="1144"/>
      <c r="AG142" s="1144"/>
      <c r="AH142" s="1144"/>
      <c r="AI142" s="1144"/>
      <c r="AJ142" s="1144"/>
      <c r="AK142" s="1144"/>
      <c r="AL142" s="1144"/>
      <c r="AM142" s="1144"/>
      <c r="AN142" s="1144"/>
      <c r="AO142" s="1144"/>
      <c r="AP142" s="1144"/>
      <c r="AQ142" s="1144"/>
      <c r="AR142" s="1144"/>
      <c r="AS142" s="1144"/>
      <c r="AT142" s="1144"/>
      <c r="AU142" s="1144"/>
      <c r="AV142" s="1144"/>
      <c r="AW142" s="1144"/>
      <c r="AX142" s="1144"/>
      <c r="AY142" s="1144"/>
      <c r="AZ142" s="1144"/>
      <c r="BA142" s="1144"/>
    </row>
    <row r="143" spans="1:53" s="1145" customFormat="1" ht="24">
      <c r="B143" s="1134"/>
      <c r="C143" s="1091" t="s">
        <v>34</v>
      </c>
      <c r="D143" s="1432">
        <v>10</v>
      </c>
      <c r="E143" s="1087" t="s">
        <v>460</v>
      </c>
      <c r="F143" s="1232">
        <f t="shared" si="27"/>
        <v>7100</v>
      </c>
      <c r="G143" s="1232">
        <f t="shared" si="28"/>
        <v>0</v>
      </c>
      <c r="H143" s="1254">
        <v>0</v>
      </c>
      <c r="I143" s="1243"/>
      <c r="J143" s="1243"/>
      <c r="K143" s="1243"/>
      <c r="L143" s="1243"/>
      <c r="M143" s="1232">
        <f t="shared" si="29"/>
        <v>7100</v>
      </c>
      <c r="N143" s="1242">
        <v>1200</v>
      </c>
      <c r="O143" s="1242">
        <v>1000</v>
      </c>
      <c r="P143" s="1244"/>
      <c r="Q143" s="1254">
        <v>0</v>
      </c>
      <c r="R143" s="1244">
        <v>1000</v>
      </c>
      <c r="S143" s="1254"/>
      <c r="T143" s="1254">
        <v>2700</v>
      </c>
      <c r="U143" s="1242">
        <v>400</v>
      </c>
      <c r="V143" s="1242"/>
      <c r="W143" s="1254"/>
      <c r="X143" s="1254"/>
      <c r="Y143" s="1238">
        <v>800</v>
      </c>
      <c r="Z143" s="1144"/>
      <c r="AA143" s="1144"/>
      <c r="AB143" s="1144"/>
      <c r="AC143" s="1144"/>
      <c r="AD143" s="1144"/>
      <c r="AE143" s="1144"/>
      <c r="AF143" s="1144"/>
      <c r="AG143" s="1144"/>
      <c r="AH143" s="1144"/>
      <c r="AI143" s="1144"/>
      <c r="AJ143" s="1144"/>
      <c r="AK143" s="1144"/>
      <c r="AL143" s="1144"/>
      <c r="AM143" s="1144"/>
      <c r="AN143" s="1144"/>
      <c r="AO143" s="1144"/>
      <c r="AP143" s="1144"/>
      <c r="AQ143" s="1144"/>
      <c r="AR143" s="1144"/>
      <c r="AS143" s="1144"/>
      <c r="AT143" s="1144"/>
      <c r="AU143" s="1144"/>
      <c r="AV143" s="1144"/>
      <c r="AW143" s="1144"/>
      <c r="AX143" s="1144"/>
      <c r="AY143" s="1144"/>
      <c r="AZ143" s="1144"/>
      <c r="BA143" s="1144"/>
    </row>
    <row r="144" spans="1:53" s="1145" customFormat="1" ht="48">
      <c r="B144" s="1134"/>
      <c r="C144" s="1091" t="s">
        <v>34</v>
      </c>
      <c r="D144" s="1432">
        <v>11</v>
      </c>
      <c r="E144" s="1087" t="s">
        <v>461</v>
      </c>
      <c r="F144" s="1232">
        <f t="shared" si="27"/>
        <v>493374</v>
      </c>
      <c r="G144" s="1232">
        <f t="shared" si="28"/>
        <v>46800</v>
      </c>
      <c r="H144" s="1254">
        <v>46800</v>
      </c>
      <c r="I144" s="1243"/>
      <c r="J144" s="1243"/>
      <c r="K144" s="1243"/>
      <c r="L144" s="1243"/>
      <c r="M144" s="1232">
        <f t="shared" si="29"/>
        <v>446574</v>
      </c>
      <c r="N144" s="1242">
        <v>80000</v>
      </c>
      <c r="O144" s="1242">
        <v>50000</v>
      </c>
      <c r="P144" s="1244">
        <v>18000</v>
      </c>
      <c r="Q144" s="1254">
        <v>50825</v>
      </c>
      <c r="R144" s="1244">
        <v>30000</v>
      </c>
      <c r="S144" s="1254">
        <v>15000</v>
      </c>
      <c r="T144" s="1254">
        <v>102800</v>
      </c>
      <c r="U144" s="1242"/>
      <c r="V144" s="1242">
        <v>35000</v>
      </c>
      <c r="W144" s="1254">
        <v>7000</v>
      </c>
      <c r="X144" s="1254">
        <v>35869</v>
      </c>
      <c r="Y144" s="1238">
        <v>22080</v>
      </c>
      <c r="Z144" s="1144"/>
      <c r="AA144" s="1144"/>
      <c r="AB144" s="1144"/>
      <c r="AC144" s="1144"/>
      <c r="AD144" s="1144"/>
      <c r="AE144" s="1144"/>
      <c r="AF144" s="1144"/>
      <c r="AG144" s="1144"/>
      <c r="AH144" s="1144"/>
      <c r="AI144" s="1144"/>
      <c r="AJ144" s="1144"/>
      <c r="AK144" s="1144"/>
      <c r="AL144" s="1144"/>
      <c r="AM144" s="1144"/>
      <c r="AN144" s="1144"/>
      <c r="AO144" s="1144"/>
      <c r="AP144" s="1144"/>
      <c r="AQ144" s="1144"/>
      <c r="AR144" s="1144"/>
      <c r="AS144" s="1144"/>
      <c r="AT144" s="1144"/>
      <c r="AU144" s="1144"/>
      <c r="AV144" s="1144"/>
      <c r="AW144" s="1144"/>
      <c r="AX144" s="1144"/>
      <c r="AY144" s="1144"/>
      <c r="AZ144" s="1144"/>
      <c r="BA144" s="1144"/>
    </row>
    <row r="145" spans="1:54" s="1145" customFormat="1" ht="48">
      <c r="B145" s="1134"/>
      <c r="C145" s="1091" t="s">
        <v>34</v>
      </c>
      <c r="D145" s="1432">
        <v>12</v>
      </c>
      <c r="E145" s="1086" t="s">
        <v>462</v>
      </c>
      <c r="F145" s="1232">
        <f t="shared" si="27"/>
        <v>474992</v>
      </c>
      <c r="G145" s="1232">
        <f t="shared" si="28"/>
        <v>293000</v>
      </c>
      <c r="H145" s="1254">
        <v>293000</v>
      </c>
      <c r="I145" s="1243"/>
      <c r="J145" s="1243"/>
      <c r="K145" s="1243"/>
      <c r="L145" s="1243"/>
      <c r="M145" s="1232">
        <f t="shared" si="29"/>
        <v>181992</v>
      </c>
      <c r="N145" s="1242">
        <v>4080</v>
      </c>
      <c r="O145" s="1242">
        <v>30000</v>
      </c>
      <c r="P145" s="1244"/>
      <c r="Q145" s="1254">
        <v>7200</v>
      </c>
      <c r="R145" s="1244">
        <v>7680</v>
      </c>
      <c r="S145" s="1254">
        <v>35200</v>
      </c>
      <c r="T145" s="1254">
        <v>25000</v>
      </c>
      <c r="U145" s="1242"/>
      <c r="V145" s="1242">
        <v>53832</v>
      </c>
      <c r="W145" s="1254">
        <v>14400</v>
      </c>
      <c r="X145" s="1254"/>
      <c r="Y145" s="1238">
        <v>4600</v>
      </c>
      <c r="Z145" s="1144"/>
      <c r="AA145" s="1144"/>
      <c r="AB145" s="1144"/>
      <c r="AC145" s="1144"/>
      <c r="AD145" s="1144"/>
      <c r="AE145" s="1144"/>
      <c r="AF145" s="1144"/>
      <c r="AG145" s="1144"/>
      <c r="AH145" s="1144"/>
      <c r="AI145" s="1144"/>
      <c r="AJ145" s="1144"/>
      <c r="AK145" s="1144"/>
      <c r="AL145" s="1144"/>
      <c r="AM145" s="1144"/>
      <c r="AN145" s="1144"/>
      <c r="AO145" s="1144"/>
      <c r="AP145" s="1144"/>
      <c r="AQ145" s="1144"/>
      <c r="AR145" s="1144"/>
      <c r="AS145" s="1144"/>
      <c r="AT145" s="1144"/>
      <c r="AU145" s="1144"/>
      <c r="AV145" s="1144"/>
      <c r="AW145" s="1144"/>
      <c r="AX145" s="1144"/>
      <c r="AY145" s="1144"/>
      <c r="AZ145" s="1144"/>
      <c r="BA145" s="1144"/>
    </row>
    <row r="146" spans="1:54" s="1145" customFormat="1" ht="36">
      <c r="B146" s="1134"/>
      <c r="C146" s="1091" t="s">
        <v>34</v>
      </c>
      <c r="D146" s="1432">
        <v>13</v>
      </c>
      <c r="E146" s="1087" t="s">
        <v>463</v>
      </c>
      <c r="F146" s="1232">
        <f t="shared" si="27"/>
        <v>197300</v>
      </c>
      <c r="G146" s="1232">
        <f t="shared" si="28"/>
        <v>95000</v>
      </c>
      <c r="H146" s="1254">
        <v>95000</v>
      </c>
      <c r="I146" s="1243"/>
      <c r="J146" s="1243"/>
      <c r="K146" s="1243"/>
      <c r="L146" s="1243"/>
      <c r="M146" s="1232">
        <f t="shared" si="29"/>
        <v>102300</v>
      </c>
      <c r="N146" s="1242">
        <v>10000</v>
      </c>
      <c r="O146" s="1242">
        <v>20000</v>
      </c>
      <c r="P146" s="1244"/>
      <c r="Q146" s="1254">
        <v>0</v>
      </c>
      <c r="R146" s="1244">
        <v>21000</v>
      </c>
      <c r="S146" s="1254"/>
      <c r="T146" s="1254">
        <v>35000</v>
      </c>
      <c r="U146" s="1242"/>
      <c r="V146" s="1242">
        <v>10000</v>
      </c>
      <c r="W146" s="1254"/>
      <c r="X146" s="1254"/>
      <c r="Y146" s="1238">
        <v>6300</v>
      </c>
      <c r="Z146" s="1144"/>
      <c r="AA146" s="1144"/>
      <c r="AB146" s="1144"/>
      <c r="AC146" s="1144"/>
      <c r="AD146" s="1144"/>
      <c r="AE146" s="1144"/>
      <c r="AF146" s="1144"/>
      <c r="AG146" s="1144"/>
      <c r="AH146" s="1144"/>
      <c r="AI146" s="1144"/>
      <c r="AJ146" s="1144"/>
      <c r="AK146" s="1144"/>
      <c r="AL146" s="1144"/>
      <c r="AM146" s="1144"/>
      <c r="AN146" s="1144"/>
      <c r="AO146" s="1144"/>
      <c r="AP146" s="1144"/>
      <c r="AQ146" s="1144"/>
      <c r="AR146" s="1144"/>
      <c r="AS146" s="1144"/>
      <c r="AT146" s="1144"/>
      <c r="AU146" s="1144"/>
      <c r="AV146" s="1144"/>
      <c r="AW146" s="1144"/>
      <c r="AX146" s="1144"/>
      <c r="AY146" s="1144"/>
      <c r="AZ146" s="1144"/>
      <c r="BA146" s="1144"/>
    </row>
    <row r="147" spans="1:54" s="1145" customFormat="1" ht="36">
      <c r="B147" s="1134"/>
      <c r="C147" s="1091" t="s">
        <v>34</v>
      </c>
      <c r="D147" s="1432">
        <v>14</v>
      </c>
      <c r="E147" s="1087" t="s">
        <v>464</v>
      </c>
      <c r="F147" s="1232">
        <f t="shared" si="27"/>
        <v>690083</v>
      </c>
      <c r="G147" s="1232">
        <f t="shared" si="28"/>
        <v>211200</v>
      </c>
      <c r="H147" s="1254">
        <v>211200</v>
      </c>
      <c r="I147" s="1243"/>
      <c r="J147" s="1243"/>
      <c r="K147" s="1243"/>
      <c r="L147" s="1243"/>
      <c r="M147" s="1232">
        <f t="shared" si="29"/>
        <v>478883</v>
      </c>
      <c r="N147" s="1242">
        <v>50000</v>
      </c>
      <c r="O147" s="1242">
        <v>50000</v>
      </c>
      <c r="P147" s="1244"/>
      <c r="Q147" s="1254">
        <v>0</v>
      </c>
      <c r="R147" s="1244">
        <v>30000</v>
      </c>
      <c r="S147" s="1254">
        <v>6000</v>
      </c>
      <c r="T147" s="1254">
        <v>216000</v>
      </c>
      <c r="U147" s="1242"/>
      <c r="V147" s="1242">
        <v>6883</v>
      </c>
      <c r="W147" s="1254">
        <v>100000</v>
      </c>
      <c r="X147" s="1254"/>
      <c r="Y147" s="1238">
        <v>20000</v>
      </c>
      <c r="Z147" s="1144"/>
      <c r="AA147" s="1144"/>
      <c r="AB147" s="1144"/>
      <c r="AC147" s="1144"/>
      <c r="AD147" s="1144"/>
      <c r="AE147" s="1144"/>
      <c r="AF147" s="1144"/>
      <c r="AG147" s="1144"/>
      <c r="AH147" s="1144"/>
      <c r="AI147" s="1144"/>
      <c r="AJ147" s="1144"/>
      <c r="AK147" s="1144"/>
      <c r="AL147" s="1144"/>
      <c r="AM147" s="1144"/>
      <c r="AN147" s="1144"/>
      <c r="AO147" s="1144"/>
      <c r="AP147" s="1144"/>
      <c r="AQ147" s="1144"/>
      <c r="AR147" s="1144"/>
      <c r="AS147" s="1144"/>
      <c r="AT147" s="1144"/>
      <c r="AU147" s="1144"/>
      <c r="AV147" s="1144"/>
      <c r="AW147" s="1144"/>
      <c r="AX147" s="1144"/>
      <c r="AY147" s="1144"/>
      <c r="AZ147" s="1144"/>
      <c r="BA147" s="1144"/>
    </row>
    <row r="148" spans="1:54" s="1146" customFormat="1" ht="24">
      <c r="B148" s="1134"/>
      <c r="C148" s="1091" t="s">
        <v>34</v>
      </c>
      <c r="D148" s="1432">
        <v>15</v>
      </c>
      <c r="E148" s="1087" t="s">
        <v>468</v>
      </c>
      <c r="F148" s="1232">
        <f t="shared" si="27"/>
        <v>353020</v>
      </c>
      <c r="G148" s="1232">
        <f t="shared" si="28"/>
        <v>0</v>
      </c>
      <c r="H148" s="1254">
        <v>0</v>
      </c>
      <c r="I148" s="1243"/>
      <c r="J148" s="1243"/>
      <c r="K148" s="1243"/>
      <c r="L148" s="1243"/>
      <c r="M148" s="1232">
        <f t="shared" si="29"/>
        <v>353020</v>
      </c>
      <c r="N148" s="1242">
        <v>41000</v>
      </c>
      <c r="O148" s="1254">
        <v>13000</v>
      </c>
      <c r="P148" s="1244">
        <v>29000</v>
      </c>
      <c r="Q148" s="1254">
        <v>48520</v>
      </c>
      <c r="R148" s="1244">
        <v>44500</v>
      </c>
      <c r="S148" s="1254">
        <v>22000</v>
      </c>
      <c r="T148" s="1244">
        <v>47000</v>
      </c>
      <c r="U148" s="1242">
        <v>40000</v>
      </c>
      <c r="V148" s="1242">
        <v>36000</v>
      </c>
      <c r="W148" s="1254">
        <v>0</v>
      </c>
      <c r="X148" s="1254">
        <v>16000</v>
      </c>
      <c r="Y148" s="1254">
        <v>16000</v>
      </c>
      <c r="Z148" s="1144"/>
      <c r="AA148" s="1144"/>
      <c r="AB148" s="1144"/>
      <c r="AC148" s="1144"/>
      <c r="AD148" s="1144"/>
      <c r="AE148" s="1144"/>
      <c r="AF148" s="1144"/>
      <c r="AG148" s="1144"/>
      <c r="AH148" s="1144"/>
      <c r="AI148" s="1144"/>
      <c r="AJ148" s="1144"/>
      <c r="AK148" s="1144"/>
      <c r="AL148" s="1144"/>
      <c r="AM148" s="1144"/>
      <c r="AN148" s="1144"/>
      <c r="AO148" s="1144"/>
      <c r="AP148" s="1144"/>
      <c r="AQ148" s="1144"/>
      <c r="AR148" s="1144"/>
      <c r="AS148" s="1144"/>
      <c r="AT148" s="1144"/>
      <c r="AU148" s="1144"/>
      <c r="AV148" s="1144"/>
      <c r="AW148" s="1144"/>
      <c r="AX148" s="1144"/>
      <c r="AY148" s="1144"/>
      <c r="AZ148" s="1144"/>
      <c r="BA148" s="1144"/>
      <c r="BB148" s="1147"/>
    </row>
    <row r="149" spans="1:54" s="1146" customFormat="1" ht="36">
      <c r="B149" s="1134"/>
      <c r="C149" s="1091" t="s">
        <v>34</v>
      </c>
      <c r="D149" s="1432">
        <v>16</v>
      </c>
      <c r="E149" s="1087" t="s">
        <v>473</v>
      </c>
      <c r="F149" s="1232">
        <f t="shared" si="27"/>
        <v>19200</v>
      </c>
      <c r="G149" s="1232">
        <f t="shared" si="28"/>
        <v>0</v>
      </c>
      <c r="H149" s="1254">
        <v>0</v>
      </c>
      <c r="I149" s="1243"/>
      <c r="J149" s="1243"/>
      <c r="K149" s="1243"/>
      <c r="L149" s="1243"/>
      <c r="M149" s="1232">
        <f t="shared" si="29"/>
        <v>19200</v>
      </c>
      <c r="N149" s="1242"/>
      <c r="O149" s="1254"/>
      <c r="P149" s="1244"/>
      <c r="Q149" s="1254"/>
      <c r="R149" s="1244"/>
      <c r="S149" s="1254">
        <v>19200</v>
      </c>
      <c r="T149" s="1244"/>
      <c r="U149" s="1242"/>
      <c r="V149" s="1242"/>
      <c r="W149" s="1254"/>
      <c r="X149" s="1254"/>
      <c r="Y149" s="1238"/>
      <c r="Z149" s="1144"/>
      <c r="AA149" s="1144"/>
      <c r="AB149" s="1144"/>
      <c r="AC149" s="1144"/>
      <c r="AD149" s="1144"/>
      <c r="AE149" s="1144"/>
      <c r="AF149" s="1144"/>
      <c r="AG149" s="1144"/>
      <c r="AH149" s="1144"/>
      <c r="AI149" s="1144"/>
      <c r="AJ149" s="1144"/>
      <c r="AK149" s="1144"/>
      <c r="AL149" s="1144"/>
      <c r="AM149" s="1144"/>
      <c r="AN149" s="1144"/>
      <c r="AO149" s="1144"/>
      <c r="AP149" s="1144"/>
      <c r="AQ149" s="1144"/>
      <c r="AR149" s="1144"/>
      <c r="AS149" s="1144"/>
      <c r="AT149" s="1144"/>
      <c r="AU149" s="1144"/>
      <c r="AV149" s="1144"/>
      <c r="AW149" s="1144"/>
      <c r="AX149" s="1144"/>
      <c r="AY149" s="1144"/>
      <c r="AZ149" s="1144"/>
      <c r="BA149" s="1144"/>
      <c r="BB149" s="1147"/>
    </row>
    <row r="150" spans="1:54" s="1148" customFormat="1">
      <c r="A150" s="1148">
        <v>6</v>
      </c>
      <c r="B150" s="1149">
        <v>6</v>
      </c>
      <c r="C150" s="1149" t="s">
        <v>572</v>
      </c>
      <c r="D150" s="1433"/>
      <c r="E150" s="1294" t="s">
        <v>559</v>
      </c>
      <c r="F150" s="1249">
        <f t="shared" si="27"/>
        <v>16142224</v>
      </c>
      <c r="G150" s="1249">
        <f>SUM(H150:L150)</f>
        <v>6228662</v>
      </c>
      <c r="H150" s="1233">
        <f t="shared" ref="H150:Y150" si="33">H151+H167+H179</f>
        <v>0</v>
      </c>
      <c r="I150" s="1233">
        <f t="shared" si="33"/>
        <v>0</v>
      </c>
      <c r="J150" s="1233">
        <f t="shared" si="33"/>
        <v>6228662</v>
      </c>
      <c r="K150" s="1233">
        <f t="shared" si="33"/>
        <v>0</v>
      </c>
      <c r="L150" s="1233">
        <f t="shared" si="33"/>
        <v>0</v>
      </c>
      <c r="M150" s="1233">
        <f t="shared" si="33"/>
        <v>9913562</v>
      </c>
      <c r="N150" s="1233">
        <f t="shared" si="33"/>
        <v>962276</v>
      </c>
      <c r="O150" s="1233">
        <f t="shared" si="33"/>
        <v>330975</v>
      </c>
      <c r="P150" s="1233">
        <f t="shared" si="33"/>
        <v>791760</v>
      </c>
      <c r="Q150" s="1233">
        <f t="shared" si="33"/>
        <v>1370854</v>
      </c>
      <c r="R150" s="1233">
        <f t="shared" si="33"/>
        <v>1092236</v>
      </c>
      <c r="S150" s="1233">
        <f t="shared" si="33"/>
        <v>712553</v>
      </c>
      <c r="T150" s="1233">
        <f t="shared" si="33"/>
        <v>1352521</v>
      </c>
      <c r="U150" s="1233">
        <f t="shared" si="33"/>
        <v>853806</v>
      </c>
      <c r="V150" s="1233">
        <f t="shared" si="33"/>
        <v>945364</v>
      </c>
      <c r="W150" s="1233">
        <f t="shared" si="33"/>
        <v>439444</v>
      </c>
      <c r="X150" s="1233">
        <f t="shared" si="33"/>
        <v>586399</v>
      </c>
      <c r="Y150" s="1233">
        <f t="shared" si="33"/>
        <v>475374</v>
      </c>
    </row>
    <row r="151" spans="1:54" s="1145" customFormat="1" ht="36">
      <c r="A151" s="1145" t="s">
        <v>806</v>
      </c>
      <c r="B151" s="1150" t="s">
        <v>249</v>
      </c>
      <c r="C151" s="1151" t="s">
        <v>572</v>
      </c>
      <c r="D151" s="1434"/>
      <c r="E151" s="1152" t="s">
        <v>560</v>
      </c>
      <c r="F151" s="1263">
        <f t="shared" si="27"/>
        <v>10513932</v>
      </c>
      <c r="G151" s="1263">
        <f t="shared" ref="G151:G190" si="34">SUM(H151:L151)</f>
        <v>1950612</v>
      </c>
      <c r="H151" s="1247">
        <f t="shared" ref="H151:Y151" si="35">SUM(H152:H166)</f>
        <v>0</v>
      </c>
      <c r="I151" s="1247">
        <f t="shared" si="35"/>
        <v>0</v>
      </c>
      <c r="J151" s="1247">
        <f t="shared" si="35"/>
        <v>1950612</v>
      </c>
      <c r="K151" s="1247">
        <f t="shared" si="35"/>
        <v>0</v>
      </c>
      <c r="L151" s="1247">
        <f t="shared" si="35"/>
        <v>0</v>
      </c>
      <c r="M151" s="1247">
        <f t="shared" si="35"/>
        <v>8563320</v>
      </c>
      <c r="N151" s="1247">
        <f t="shared" si="35"/>
        <v>750656</v>
      </c>
      <c r="O151" s="1247">
        <f t="shared" si="35"/>
        <v>285395</v>
      </c>
      <c r="P151" s="1247">
        <f t="shared" si="35"/>
        <v>673000</v>
      </c>
      <c r="Q151" s="1247">
        <f t="shared" si="35"/>
        <v>1144184</v>
      </c>
      <c r="R151" s="1247">
        <f t="shared" si="35"/>
        <v>976400</v>
      </c>
      <c r="S151" s="1247">
        <f t="shared" si="35"/>
        <v>641253</v>
      </c>
      <c r="T151" s="1247">
        <f t="shared" si="35"/>
        <v>1214971</v>
      </c>
      <c r="U151" s="1247">
        <f t="shared" si="35"/>
        <v>757906</v>
      </c>
      <c r="V151" s="1247">
        <f t="shared" si="35"/>
        <v>862664</v>
      </c>
      <c r="W151" s="1247">
        <f t="shared" si="35"/>
        <v>364054</v>
      </c>
      <c r="X151" s="1247">
        <f t="shared" si="35"/>
        <v>493783</v>
      </c>
      <c r="Y151" s="1247">
        <f t="shared" si="35"/>
        <v>399054</v>
      </c>
    </row>
    <row r="152" spans="1:54" s="1145" customFormat="1" ht="24">
      <c r="B152" s="1154"/>
      <c r="C152" s="1155" t="s">
        <v>572</v>
      </c>
      <c r="D152" s="1456">
        <v>1</v>
      </c>
      <c r="E152" s="1156" t="s">
        <v>149</v>
      </c>
      <c r="F152" s="1258">
        <f t="shared" ref="F152:F194" si="36">G152+M152</f>
        <v>4478400</v>
      </c>
      <c r="G152" s="1258">
        <f t="shared" si="34"/>
        <v>0</v>
      </c>
      <c r="H152" s="1238"/>
      <c r="I152" s="1239"/>
      <c r="J152" s="1239"/>
      <c r="K152" s="1239"/>
      <c r="L152" s="1239"/>
      <c r="M152" s="1258">
        <f t="shared" ref="M152:M190" si="37">SUM(N152:Y152)</f>
        <v>4478400</v>
      </c>
      <c r="N152" s="1240">
        <v>540000</v>
      </c>
      <c r="O152" s="1240">
        <v>68400</v>
      </c>
      <c r="P152" s="1240">
        <f>318600+2400</f>
        <v>321000</v>
      </c>
      <c r="Q152" s="1240">
        <v>597600</v>
      </c>
      <c r="R152" s="1240">
        <v>531000</v>
      </c>
      <c r="S152" s="1240">
        <v>197400</v>
      </c>
      <c r="T152" s="1240">
        <v>621000</v>
      </c>
      <c r="U152" s="1240">
        <v>509400</v>
      </c>
      <c r="V152" s="1240">
        <v>495000</v>
      </c>
      <c r="W152" s="1240">
        <v>169200</v>
      </c>
      <c r="X152" s="1240">
        <v>223200</v>
      </c>
      <c r="Y152" s="1240">
        <v>205200</v>
      </c>
    </row>
    <row r="153" spans="1:54" s="1145" customFormat="1">
      <c r="B153" s="1154"/>
      <c r="C153" s="1155" t="s">
        <v>572</v>
      </c>
      <c r="D153" s="1456">
        <v>2</v>
      </c>
      <c r="E153" s="1156" t="s">
        <v>151</v>
      </c>
      <c r="F153" s="1258">
        <f t="shared" si="36"/>
        <v>1148065</v>
      </c>
      <c r="G153" s="1258">
        <f t="shared" si="34"/>
        <v>0</v>
      </c>
      <c r="H153" s="1238"/>
      <c r="I153" s="1239"/>
      <c r="J153" s="1239"/>
      <c r="K153" s="1239"/>
      <c r="L153" s="1239"/>
      <c r="M153" s="1258">
        <f t="shared" si="37"/>
        <v>1148065</v>
      </c>
      <c r="N153" s="1240">
        <f>7330+1036</f>
        <v>8366</v>
      </c>
      <c r="O153" s="1240">
        <v>58600</v>
      </c>
      <c r="P153" s="1240">
        <v>80000</v>
      </c>
      <c r="Q153" s="1240">
        <v>162534</v>
      </c>
      <c r="R153" s="1240">
        <v>120000</v>
      </c>
      <c r="S153" s="1240">
        <v>172323</v>
      </c>
      <c r="T153" s="1240">
        <v>207571</v>
      </c>
      <c r="U153" s="1240">
        <v>58746</v>
      </c>
      <c r="V153" s="1240">
        <v>74644</v>
      </c>
      <c r="W153" s="1240">
        <v>50914</v>
      </c>
      <c r="X153" s="1240">
        <v>103453</v>
      </c>
      <c r="Y153" s="1240">
        <v>50914</v>
      </c>
    </row>
    <row r="154" spans="1:54" s="1145" customFormat="1" ht="24">
      <c r="B154" s="1154"/>
      <c r="C154" s="1155" t="s">
        <v>572</v>
      </c>
      <c r="D154" s="1456">
        <v>3</v>
      </c>
      <c r="E154" s="1156" t="s">
        <v>272</v>
      </c>
      <c r="F154" s="1258">
        <f t="shared" si="36"/>
        <v>293727</v>
      </c>
      <c r="G154" s="1258">
        <f t="shared" si="34"/>
        <v>0</v>
      </c>
      <c r="H154" s="1238"/>
      <c r="I154" s="1239"/>
      <c r="J154" s="1239"/>
      <c r="K154" s="1239"/>
      <c r="L154" s="1239"/>
      <c r="M154" s="1258">
        <f t="shared" si="37"/>
        <v>293727</v>
      </c>
      <c r="N154" s="1240">
        <f>9000+2100+7100</f>
        <v>18200</v>
      </c>
      <c r="O154" s="1240">
        <v>3207</v>
      </c>
      <c r="P154" s="1240">
        <f>14000+12600+20000</f>
        <v>46600</v>
      </c>
      <c r="Q154" s="1240">
        <v>70500</v>
      </c>
      <c r="R154" s="1240">
        <v>25000</v>
      </c>
      <c r="S154" s="1240">
        <v>10080</v>
      </c>
      <c r="T154" s="1240">
        <v>21000</v>
      </c>
      <c r="U154" s="1240">
        <v>13860</v>
      </c>
      <c r="V154" s="1240">
        <v>27820</v>
      </c>
      <c r="W154" s="1240">
        <v>11340</v>
      </c>
      <c r="X154" s="1240">
        <f>16100+7080+11000+600</f>
        <v>34780</v>
      </c>
      <c r="Y154" s="1240">
        <v>11340</v>
      </c>
    </row>
    <row r="155" spans="1:54" s="1145" customFormat="1" ht="36">
      <c r="B155" s="1154"/>
      <c r="C155" s="1155" t="s">
        <v>572</v>
      </c>
      <c r="D155" s="1456">
        <v>4</v>
      </c>
      <c r="E155" s="1156" t="s">
        <v>153</v>
      </c>
      <c r="F155" s="1258">
        <f t="shared" si="36"/>
        <v>72400</v>
      </c>
      <c r="G155" s="1258">
        <f t="shared" si="34"/>
        <v>47000</v>
      </c>
      <c r="H155" s="1238"/>
      <c r="I155" s="1239"/>
      <c r="J155" s="1239">
        <v>47000</v>
      </c>
      <c r="K155" s="1239"/>
      <c r="L155" s="1239"/>
      <c r="M155" s="1258">
        <f t="shared" si="37"/>
        <v>25400</v>
      </c>
      <c r="N155" s="1240">
        <v>2000</v>
      </c>
      <c r="O155" s="1240">
        <v>2000</v>
      </c>
      <c r="P155" s="1240">
        <v>2000</v>
      </c>
      <c r="Q155" s="1240">
        <v>2000</v>
      </c>
      <c r="R155" s="1240">
        <v>2000</v>
      </c>
      <c r="S155" s="1240">
        <v>2000</v>
      </c>
      <c r="T155" s="1240">
        <v>2000</v>
      </c>
      <c r="U155" s="1240">
        <v>2000</v>
      </c>
      <c r="V155" s="1240">
        <v>2000</v>
      </c>
      <c r="W155" s="1240">
        <v>2000</v>
      </c>
      <c r="X155" s="1240">
        <v>3400</v>
      </c>
      <c r="Y155" s="1240">
        <v>2000</v>
      </c>
    </row>
    <row r="156" spans="1:54" s="1145" customFormat="1" ht="36">
      <c r="B156" s="1154"/>
      <c r="C156" s="1155" t="s">
        <v>572</v>
      </c>
      <c r="D156" s="1456">
        <v>5</v>
      </c>
      <c r="E156" s="1156" t="s">
        <v>273</v>
      </c>
      <c r="F156" s="1258">
        <f t="shared" si="36"/>
        <v>1197017</v>
      </c>
      <c r="G156" s="1258">
        <f t="shared" si="34"/>
        <v>1055500</v>
      </c>
      <c r="H156" s="1238"/>
      <c r="I156" s="1239"/>
      <c r="J156" s="1239">
        <v>1055500</v>
      </c>
      <c r="K156" s="1239"/>
      <c r="L156" s="1239"/>
      <c r="M156" s="1258">
        <f t="shared" si="37"/>
        <v>141517</v>
      </c>
      <c r="N156" s="1240">
        <v>26000</v>
      </c>
      <c r="O156" s="1240">
        <v>7817</v>
      </c>
      <c r="P156" s="1240">
        <v>3000</v>
      </c>
      <c r="Q156" s="1240">
        <v>13000</v>
      </c>
      <c r="R156" s="1240">
        <v>14000</v>
      </c>
      <c r="S156" s="1240">
        <v>7000</v>
      </c>
      <c r="T156" s="1240">
        <v>17000</v>
      </c>
      <c r="U156" s="1240">
        <v>9800</v>
      </c>
      <c r="V156" s="1240">
        <v>18000</v>
      </c>
      <c r="W156" s="1240">
        <v>8100</v>
      </c>
      <c r="X156" s="1240">
        <f>3700+6000</f>
        <v>9700</v>
      </c>
      <c r="Y156" s="1240">
        <v>8100</v>
      </c>
    </row>
    <row r="157" spans="1:54" s="1145" customFormat="1" ht="36">
      <c r="B157" s="1154"/>
      <c r="C157" s="1155" t="s">
        <v>572</v>
      </c>
      <c r="D157" s="1456">
        <v>6</v>
      </c>
      <c r="E157" s="1156" t="s">
        <v>158</v>
      </c>
      <c r="F157" s="1258">
        <f t="shared" si="36"/>
        <v>53060</v>
      </c>
      <c r="G157" s="1258">
        <f t="shared" si="34"/>
        <v>53060</v>
      </c>
      <c r="H157" s="1238"/>
      <c r="I157" s="1239"/>
      <c r="J157" s="1239">
        <v>53060</v>
      </c>
      <c r="K157" s="1239"/>
      <c r="L157" s="1239"/>
      <c r="M157" s="1258">
        <f t="shared" si="37"/>
        <v>0</v>
      </c>
      <c r="N157" s="1240"/>
      <c r="O157" s="1240"/>
      <c r="P157" s="1240"/>
      <c r="Q157" s="1240"/>
      <c r="R157" s="1240"/>
      <c r="S157" s="1240"/>
      <c r="T157" s="1240"/>
      <c r="U157" s="1240">
        <v>0</v>
      </c>
      <c r="V157" s="1251"/>
      <c r="W157" s="1240"/>
      <c r="X157" s="1240"/>
      <c r="Y157" s="1240"/>
    </row>
    <row r="158" spans="1:54" s="1145" customFormat="1" ht="24">
      <c r="B158" s="1154"/>
      <c r="C158" s="1155" t="s">
        <v>572</v>
      </c>
      <c r="D158" s="1456">
        <v>7</v>
      </c>
      <c r="E158" s="1156" t="s">
        <v>162</v>
      </c>
      <c r="F158" s="1258">
        <f t="shared" si="36"/>
        <v>424988</v>
      </c>
      <c r="G158" s="1258">
        <f t="shared" si="34"/>
        <v>328552</v>
      </c>
      <c r="H158" s="1238"/>
      <c r="I158" s="1239"/>
      <c r="J158" s="1239">
        <v>328552</v>
      </c>
      <c r="K158" s="1239"/>
      <c r="L158" s="1239"/>
      <c r="M158" s="1258">
        <f t="shared" si="37"/>
        <v>96436</v>
      </c>
      <c r="N158" s="1240">
        <v>19500</v>
      </c>
      <c r="O158" s="1240">
        <v>12036</v>
      </c>
      <c r="P158" s="1240">
        <v>20000</v>
      </c>
      <c r="Q158" s="1240">
        <v>21850</v>
      </c>
      <c r="R158" s="1240">
        <v>20000</v>
      </c>
      <c r="S158" s="1240">
        <v>3050</v>
      </c>
      <c r="T158" s="1240"/>
      <c r="U158" s="1240">
        <v>0</v>
      </c>
      <c r="V158" s="1238"/>
      <c r="W158" s="1240"/>
      <c r="X158" s="1240"/>
      <c r="Y158" s="1240"/>
    </row>
    <row r="159" spans="1:54" s="1145" customFormat="1" ht="60">
      <c r="B159" s="1154"/>
      <c r="C159" s="1155" t="s">
        <v>572</v>
      </c>
      <c r="D159" s="1456">
        <v>8</v>
      </c>
      <c r="E159" s="1157" t="s">
        <v>156</v>
      </c>
      <c r="F159" s="1258">
        <f t="shared" si="36"/>
        <v>140000</v>
      </c>
      <c r="G159" s="1258">
        <f t="shared" si="34"/>
        <v>0</v>
      </c>
      <c r="H159" s="1238"/>
      <c r="I159" s="1239"/>
      <c r="J159" s="1239"/>
      <c r="K159" s="1239"/>
      <c r="L159" s="1239"/>
      <c r="M159" s="1258">
        <f t="shared" si="37"/>
        <v>140000</v>
      </c>
      <c r="N159" s="1240"/>
      <c r="O159" s="1240">
        <v>10000</v>
      </c>
      <c r="P159" s="1240">
        <v>30000</v>
      </c>
      <c r="Q159" s="1240">
        <v>20000</v>
      </c>
      <c r="R159" s="1240">
        <v>30000</v>
      </c>
      <c r="S159" s="1240">
        <v>30000</v>
      </c>
      <c r="T159" s="1240">
        <v>20000</v>
      </c>
      <c r="U159" s="1240">
        <v>0</v>
      </c>
      <c r="V159" s="1240"/>
      <c r="W159" s="1240"/>
      <c r="X159" s="1240"/>
      <c r="Y159" s="1240"/>
    </row>
    <row r="160" spans="1:54" s="1145" customFormat="1">
      <c r="B160" s="1158"/>
      <c r="C160" s="1155" t="s">
        <v>572</v>
      </c>
      <c r="D160" s="1456">
        <v>9</v>
      </c>
      <c r="E160" s="1085" t="s">
        <v>292</v>
      </c>
      <c r="F160" s="1258">
        <f t="shared" si="36"/>
        <v>720000</v>
      </c>
      <c r="G160" s="1258">
        <f t="shared" si="34"/>
        <v>64000</v>
      </c>
      <c r="H160" s="1238"/>
      <c r="I160" s="1239"/>
      <c r="J160" s="1239">
        <v>64000</v>
      </c>
      <c r="K160" s="1239"/>
      <c r="L160" s="1239"/>
      <c r="M160" s="1258">
        <f t="shared" si="37"/>
        <v>656000</v>
      </c>
      <c r="N160" s="1251">
        <v>32000</v>
      </c>
      <c r="O160" s="1251">
        <v>24000</v>
      </c>
      <c r="P160" s="1251">
        <v>48000</v>
      </c>
      <c r="Q160" s="1251">
        <v>60000</v>
      </c>
      <c r="R160" s="1242">
        <v>68800</v>
      </c>
      <c r="S160" s="1242">
        <v>72000</v>
      </c>
      <c r="T160" s="1251">
        <v>92000</v>
      </c>
      <c r="U160" s="1242">
        <v>48000</v>
      </c>
      <c r="V160" s="1251">
        <v>88000</v>
      </c>
      <c r="W160" s="1242">
        <v>40000</v>
      </c>
      <c r="X160" s="1251">
        <v>43200</v>
      </c>
      <c r="Y160" s="1242">
        <v>40000</v>
      </c>
    </row>
    <row r="161" spans="1:25" s="1145" customFormat="1">
      <c r="B161" s="1158"/>
      <c r="C161" s="1155" t="s">
        <v>572</v>
      </c>
      <c r="D161" s="1456">
        <v>10</v>
      </c>
      <c r="E161" s="1085" t="s">
        <v>291</v>
      </c>
      <c r="F161" s="1258">
        <f t="shared" si="36"/>
        <v>1280000</v>
      </c>
      <c r="G161" s="1258">
        <f t="shared" si="34"/>
        <v>60300</v>
      </c>
      <c r="H161" s="1238"/>
      <c r="I161" s="1239"/>
      <c r="J161" s="1239">
        <v>60300</v>
      </c>
      <c r="K161" s="1239"/>
      <c r="L161" s="1239"/>
      <c r="M161" s="1258">
        <f t="shared" si="37"/>
        <v>1219700</v>
      </c>
      <c r="N161" s="1251">
        <v>77550</v>
      </c>
      <c r="O161" s="1251">
        <v>78400</v>
      </c>
      <c r="P161" s="1251">
        <v>108900</v>
      </c>
      <c r="Q161" s="1251">
        <v>149200</v>
      </c>
      <c r="R161" s="1242">
        <v>126800</v>
      </c>
      <c r="S161" s="1242">
        <v>121600</v>
      </c>
      <c r="T161" s="1251">
        <v>174500</v>
      </c>
      <c r="U161" s="1242">
        <v>82000</v>
      </c>
      <c r="V161" s="1251">
        <v>134800</v>
      </c>
      <c r="W161" s="1242">
        <v>53500</v>
      </c>
      <c r="X161" s="1251">
        <v>59950</v>
      </c>
      <c r="Y161" s="1242">
        <v>52500</v>
      </c>
    </row>
    <row r="162" spans="1:25" s="1145" customFormat="1" ht="36">
      <c r="B162" s="1154"/>
      <c r="C162" s="1155" t="s">
        <v>572</v>
      </c>
      <c r="D162" s="1456">
        <v>11</v>
      </c>
      <c r="E162" s="1162" t="s">
        <v>696</v>
      </c>
      <c r="F162" s="1258">
        <f t="shared" si="36"/>
        <v>350075</v>
      </c>
      <c r="G162" s="1258">
        <f t="shared" si="34"/>
        <v>0</v>
      </c>
      <c r="H162" s="1238"/>
      <c r="I162" s="1239"/>
      <c r="J162" s="1239"/>
      <c r="K162" s="1239"/>
      <c r="L162" s="1239"/>
      <c r="M162" s="1258">
        <f t="shared" si="37"/>
        <v>350075</v>
      </c>
      <c r="N162" s="1240">
        <f>14400+8640</f>
        <v>23040</v>
      </c>
      <c r="O162" s="1240">
        <v>20935</v>
      </c>
      <c r="P162" s="1240">
        <v>13500</v>
      </c>
      <c r="Q162" s="1238">
        <v>47500</v>
      </c>
      <c r="R162" s="1240">
        <f>12800+16000</f>
        <v>28800</v>
      </c>
      <c r="S162" s="1240">
        <v>25800</v>
      </c>
      <c r="T162" s="1240">
        <v>59900</v>
      </c>
      <c r="U162" s="1240">
        <v>34100</v>
      </c>
      <c r="V162" s="1240">
        <v>22400</v>
      </c>
      <c r="W162" s="1240">
        <v>29000</v>
      </c>
      <c r="X162" s="1240">
        <v>16100</v>
      </c>
      <c r="Y162" s="1240">
        <v>29000</v>
      </c>
    </row>
    <row r="163" spans="1:25" s="1145" customFormat="1" ht="72">
      <c r="B163" s="1154"/>
      <c r="C163" s="1155" t="s">
        <v>572</v>
      </c>
      <c r="D163" s="1456">
        <v>12</v>
      </c>
      <c r="E163" s="1163" t="s">
        <v>176</v>
      </c>
      <c r="F163" s="1258">
        <f t="shared" si="36"/>
        <v>61200</v>
      </c>
      <c r="G163" s="1258">
        <f t="shared" si="34"/>
        <v>61200</v>
      </c>
      <c r="H163" s="1238"/>
      <c r="I163" s="1239"/>
      <c r="J163" s="1239">
        <v>61200</v>
      </c>
      <c r="K163" s="1239"/>
      <c r="L163" s="1239"/>
      <c r="M163" s="1258">
        <f t="shared" si="37"/>
        <v>0</v>
      </c>
      <c r="N163" s="1240"/>
      <c r="O163" s="1240"/>
      <c r="P163" s="1240"/>
      <c r="Q163" s="1240"/>
      <c r="R163" s="1255"/>
      <c r="S163" s="1240"/>
      <c r="T163" s="1240"/>
      <c r="U163" s="1240">
        <v>0</v>
      </c>
      <c r="V163" s="1251"/>
      <c r="W163" s="1240"/>
      <c r="X163" s="1240"/>
      <c r="Y163" s="1240"/>
    </row>
    <row r="164" spans="1:25" s="1145" customFormat="1" ht="24">
      <c r="B164" s="1154"/>
      <c r="C164" s="1155" t="s">
        <v>572</v>
      </c>
      <c r="D164" s="1456">
        <v>13</v>
      </c>
      <c r="E164" s="1163" t="s">
        <v>177</v>
      </c>
      <c r="F164" s="1258">
        <f t="shared" si="36"/>
        <v>11000</v>
      </c>
      <c r="G164" s="1258">
        <f t="shared" si="34"/>
        <v>11000</v>
      </c>
      <c r="H164" s="1238"/>
      <c r="I164" s="1239"/>
      <c r="J164" s="1239">
        <v>11000</v>
      </c>
      <c r="K164" s="1239"/>
      <c r="L164" s="1239"/>
      <c r="M164" s="1258">
        <f t="shared" si="37"/>
        <v>0</v>
      </c>
      <c r="N164" s="1240"/>
      <c r="O164" s="1240"/>
      <c r="P164" s="1240"/>
      <c r="Q164" s="1238"/>
      <c r="R164" s="1255"/>
      <c r="S164" s="1240"/>
      <c r="T164" s="1240"/>
      <c r="U164" s="1240">
        <v>0</v>
      </c>
      <c r="V164" s="1251"/>
      <c r="W164" s="1240"/>
      <c r="X164" s="1240"/>
      <c r="Y164" s="1240"/>
    </row>
    <row r="165" spans="1:25" s="1145" customFormat="1" ht="60">
      <c r="B165" s="1154"/>
      <c r="C165" s="1155" t="s">
        <v>572</v>
      </c>
      <c r="D165" s="1456">
        <v>14</v>
      </c>
      <c r="E165" s="1163" t="s">
        <v>178</v>
      </c>
      <c r="F165" s="1258">
        <f t="shared" si="36"/>
        <v>150000</v>
      </c>
      <c r="G165" s="1258">
        <f t="shared" si="34"/>
        <v>150000</v>
      </c>
      <c r="H165" s="1238"/>
      <c r="I165" s="1239"/>
      <c r="J165" s="1239">
        <v>150000</v>
      </c>
      <c r="K165" s="1239"/>
      <c r="L165" s="1239"/>
      <c r="M165" s="1258">
        <f t="shared" si="37"/>
        <v>0</v>
      </c>
      <c r="N165" s="1240"/>
      <c r="O165" s="1240"/>
      <c r="P165" s="1240"/>
      <c r="Q165" s="1238"/>
      <c r="R165" s="1255"/>
      <c r="S165" s="1240"/>
      <c r="T165" s="1240"/>
      <c r="U165" s="1240">
        <v>0</v>
      </c>
      <c r="V165" s="1251"/>
      <c r="W165" s="1240"/>
      <c r="X165" s="1240"/>
      <c r="Y165" s="1240"/>
    </row>
    <row r="166" spans="1:25" s="1145" customFormat="1" ht="24">
      <c r="B166" s="1154"/>
      <c r="C166" s="1155" t="s">
        <v>572</v>
      </c>
      <c r="D166" s="1456">
        <v>15</v>
      </c>
      <c r="E166" s="1163" t="s">
        <v>179</v>
      </c>
      <c r="F166" s="1258">
        <f t="shared" si="36"/>
        <v>134000</v>
      </c>
      <c r="G166" s="1258">
        <f t="shared" si="34"/>
        <v>120000</v>
      </c>
      <c r="H166" s="1238"/>
      <c r="I166" s="1239"/>
      <c r="J166" s="1239">
        <v>120000</v>
      </c>
      <c r="K166" s="1239"/>
      <c r="L166" s="1239"/>
      <c r="M166" s="1258">
        <f t="shared" si="37"/>
        <v>14000</v>
      </c>
      <c r="N166" s="1240">
        <v>4000</v>
      </c>
      <c r="O166" s="1240"/>
      <c r="P166" s="1240"/>
      <c r="Q166" s="1238"/>
      <c r="R166" s="1240">
        <v>10000</v>
      </c>
      <c r="S166" s="1240"/>
      <c r="T166" s="1240"/>
      <c r="U166" s="1240">
        <v>0</v>
      </c>
      <c r="V166" s="1251"/>
      <c r="W166" s="1240"/>
      <c r="X166" s="1240"/>
      <c r="Y166" s="1240"/>
    </row>
    <row r="167" spans="1:25" s="1164" customFormat="1" ht="24">
      <c r="A167" s="1164" t="s">
        <v>807</v>
      </c>
      <c r="B167" s="1165" t="s">
        <v>258</v>
      </c>
      <c r="C167" s="1149" t="s">
        <v>572</v>
      </c>
      <c r="D167" s="1433"/>
      <c r="E167" s="1166" t="s">
        <v>561</v>
      </c>
      <c r="F167" s="1232">
        <f t="shared" si="36"/>
        <v>4722956</v>
      </c>
      <c r="G167" s="1232">
        <f t="shared" si="34"/>
        <v>4193850</v>
      </c>
      <c r="H167" s="1271">
        <f t="shared" ref="H167:Y167" si="38">SUM(H168:H178)</f>
        <v>0</v>
      </c>
      <c r="I167" s="1271">
        <f t="shared" si="38"/>
        <v>0</v>
      </c>
      <c r="J167" s="1271">
        <f t="shared" si="38"/>
        <v>4193850</v>
      </c>
      <c r="K167" s="1271">
        <f t="shared" si="38"/>
        <v>0</v>
      </c>
      <c r="L167" s="1271">
        <f t="shared" si="38"/>
        <v>0</v>
      </c>
      <c r="M167" s="1271">
        <f t="shared" si="38"/>
        <v>529106</v>
      </c>
      <c r="N167" s="1271">
        <f t="shared" si="38"/>
        <v>80320</v>
      </c>
      <c r="O167" s="1271">
        <f t="shared" si="38"/>
        <v>11620</v>
      </c>
      <c r="P167" s="1271">
        <f t="shared" si="38"/>
        <v>44600</v>
      </c>
      <c r="Q167" s="1271">
        <f t="shared" si="38"/>
        <v>58000</v>
      </c>
      <c r="R167" s="1271">
        <f t="shared" si="38"/>
        <v>41600</v>
      </c>
      <c r="S167" s="1271">
        <f t="shared" si="38"/>
        <v>35000</v>
      </c>
      <c r="T167" s="1271">
        <f t="shared" si="38"/>
        <v>67500</v>
      </c>
      <c r="U167" s="1271">
        <f t="shared" si="38"/>
        <v>44900</v>
      </c>
      <c r="V167" s="1271">
        <f t="shared" si="38"/>
        <v>29900</v>
      </c>
      <c r="W167" s="1271">
        <f t="shared" si="38"/>
        <v>37650</v>
      </c>
      <c r="X167" s="1271">
        <f t="shared" si="38"/>
        <v>39916</v>
      </c>
      <c r="Y167" s="1271">
        <f t="shared" si="38"/>
        <v>38100</v>
      </c>
    </row>
    <row r="168" spans="1:25" s="1145" customFormat="1" ht="60">
      <c r="B168" s="1154"/>
      <c r="C168" s="1155" t="s">
        <v>572</v>
      </c>
      <c r="D168" s="1435">
        <v>1</v>
      </c>
      <c r="E168" s="1162" t="s">
        <v>698</v>
      </c>
      <c r="F168" s="1258">
        <f t="shared" si="36"/>
        <v>221640</v>
      </c>
      <c r="G168" s="1258">
        <f t="shared" si="34"/>
        <v>0</v>
      </c>
      <c r="H168" s="1238"/>
      <c r="I168" s="1239"/>
      <c r="J168" s="1239"/>
      <c r="K168" s="1239"/>
      <c r="L168" s="1239"/>
      <c r="M168" s="1258">
        <f t="shared" si="37"/>
        <v>221640</v>
      </c>
      <c r="N168" s="1240">
        <v>33400</v>
      </c>
      <c r="O168" s="1240"/>
      <c r="P168" s="1240">
        <v>15000</v>
      </c>
      <c r="Q168" s="1238">
        <v>24500</v>
      </c>
      <c r="R168" s="1240">
        <v>12800</v>
      </c>
      <c r="S168" s="1240">
        <v>14000</v>
      </c>
      <c r="T168" s="1240">
        <v>30500</v>
      </c>
      <c r="U168" s="1240">
        <v>18500</v>
      </c>
      <c r="V168" s="1240">
        <v>22400</v>
      </c>
      <c r="W168" s="1240">
        <v>16500</v>
      </c>
      <c r="X168" s="1240">
        <v>17540</v>
      </c>
      <c r="Y168" s="1240">
        <v>16500</v>
      </c>
    </row>
    <row r="169" spans="1:25" s="1145" customFormat="1" ht="36">
      <c r="B169" s="1154"/>
      <c r="C169" s="1155" t="s">
        <v>572</v>
      </c>
      <c r="D169" s="1433">
        <v>2</v>
      </c>
      <c r="E169" s="1163" t="s">
        <v>164</v>
      </c>
      <c r="F169" s="1258">
        <f t="shared" si="36"/>
        <v>53600</v>
      </c>
      <c r="G169" s="1258">
        <f t="shared" si="34"/>
        <v>53600</v>
      </c>
      <c r="H169" s="1238"/>
      <c r="I169" s="1239"/>
      <c r="J169" s="1239">
        <v>53600</v>
      </c>
      <c r="K169" s="1239"/>
      <c r="L169" s="1239"/>
      <c r="M169" s="1258">
        <f t="shared" si="37"/>
        <v>0</v>
      </c>
      <c r="N169" s="1240"/>
      <c r="O169" s="1240"/>
      <c r="P169" s="1240"/>
      <c r="Q169" s="1238"/>
      <c r="R169" s="1255"/>
      <c r="S169" s="1240"/>
      <c r="T169" s="1240"/>
      <c r="U169" s="1240">
        <v>0</v>
      </c>
      <c r="V169" s="1240"/>
      <c r="W169" s="1240"/>
      <c r="X169" s="1240"/>
      <c r="Y169" s="1240"/>
    </row>
    <row r="170" spans="1:25" s="1145" customFormat="1" ht="36">
      <c r="B170" s="1154"/>
      <c r="C170" s="1155" t="s">
        <v>572</v>
      </c>
      <c r="D170" s="1435">
        <v>3</v>
      </c>
      <c r="E170" s="1163" t="s">
        <v>165</v>
      </c>
      <c r="F170" s="1258">
        <f t="shared" si="36"/>
        <v>3058320</v>
      </c>
      <c r="G170" s="1258">
        <f t="shared" si="34"/>
        <v>2993250</v>
      </c>
      <c r="H170" s="1238"/>
      <c r="I170" s="1239"/>
      <c r="J170" s="1239">
        <v>2993250</v>
      </c>
      <c r="K170" s="1239"/>
      <c r="L170" s="1239"/>
      <c r="M170" s="1258">
        <f t="shared" si="37"/>
        <v>65070</v>
      </c>
      <c r="N170" s="1240">
        <f>7500+2820</f>
        <v>10320</v>
      </c>
      <c r="O170" s="1240">
        <v>2000</v>
      </c>
      <c r="P170" s="1240">
        <v>8000</v>
      </c>
      <c r="Q170" s="1238">
        <v>9000</v>
      </c>
      <c r="R170" s="1240">
        <v>2000</v>
      </c>
      <c r="S170" s="1240">
        <v>4500</v>
      </c>
      <c r="T170" s="1240">
        <v>9000</v>
      </c>
      <c r="U170" s="1240">
        <v>6000</v>
      </c>
      <c r="V170" s="1240">
        <v>3000</v>
      </c>
      <c r="W170" s="1240">
        <v>2250</v>
      </c>
      <c r="X170" s="1240">
        <v>6300</v>
      </c>
      <c r="Y170" s="1240">
        <v>2700</v>
      </c>
    </row>
    <row r="171" spans="1:25" s="1145" customFormat="1" ht="60">
      <c r="B171" s="1154"/>
      <c r="C171" s="1155" t="s">
        <v>572</v>
      </c>
      <c r="D171" s="1433">
        <v>4</v>
      </c>
      <c r="E171" s="1163" t="s">
        <v>201</v>
      </c>
      <c r="F171" s="1258">
        <f t="shared" si="36"/>
        <v>287500</v>
      </c>
      <c r="G171" s="1258">
        <f t="shared" si="34"/>
        <v>287500</v>
      </c>
      <c r="H171" s="1238"/>
      <c r="I171" s="1239"/>
      <c r="J171" s="1239">
        <v>287500</v>
      </c>
      <c r="K171" s="1239"/>
      <c r="L171" s="1239"/>
      <c r="M171" s="1258">
        <f t="shared" si="37"/>
        <v>0</v>
      </c>
      <c r="N171" s="1238">
        <f t="shared" ref="N171:Y171" si="39">SUM(N172:N173)</f>
        <v>0</v>
      </c>
      <c r="O171" s="1238">
        <f t="shared" si="39"/>
        <v>0</v>
      </c>
      <c r="P171" s="1238">
        <f t="shared" si="39"/>
        <v>0</v>
      </c>
      <c r="Q171" s="1238">
        <f t="shared" si="39"/>
        <v>0</v>
      </c>
      <c r="R171" s="1238">
        <f t="shared" si="39"/>
        <v>0</v>
      </c>
      <c r="S171" s="1238">
        <f t="shared" si="39"/>
        <v>0</v>
      </c>
      <c r="T171" s="1238">
        <f t="shared" si="39"/>
        <v>0</v>
      </c>
      <c r="U171" s="1238">
        <f t="shared" si="39"/>
        <v>0</v>
      </c>
      <c r="V171" s="1238">
        <f t="shared" si="39"/>
        <v>0</v>
      </c>
      <c r="W171" s="1238">
        <f t="shared" si="39"/>
        <v>0</v>
      </c>
      <c r="X171" s="1238">
        <f t="shared" si="39"/>
        <v>0</v>
      </c>
      <c r="Y171" s="1238">
        <f t="shared" si="39"/>
        <v>0</v>
      </c>
    </row>
    <row r="172" spans="1:25" s="1145" customFormat="1" ht="60">
      <c r="B172" s="1158"/>
      <c r="C172" s="1155" t="s">
        <v>572</v>
      </c>
      <c r="D172" s="1435">
        <v>5</v>
      </c>
      <c r="E172" s="1167" t="s">
        <v>202</v>
      </c>
      <c r="F172" s="1258">
        <f t="shared" si="36"/>
        <v>230000</v>
      </c>
      <c r="G172" s="1258">
        <f t="shared" si="34"/>
        <v>230000</v>
      </c>
      <c r="H172" s="1238"/>
      <c r="I172" s="1239"/>
      <c r="J172" s="1239">
        <v>230000</v>
      </c>
      <c r="K172" s="1239"/>
      <c r="L172" s="1239"/>
      <c r="M172" s="1258">
        <f t="shared" si="37"/>
        <v>0</v>
      </c>
      <c r="N172" s="1251"/>
      <c r="O172" s="1251"/>
      <c r="P172" s="1251"/>
      <c r="Q172" s="1242"/>
      <c r="R172" s="1251"/>
      <c r="S172" s="1242"/>
      <c r="T172" s="1251"/>
      <c r="U172" s="1242"/>
      <c r="V172" s="1242"/>
      <c r="W172" s="1242"/>
      <c r="X172" s="1242"/>
      <c r="Y172" s="1242"/>
    </row>
    <row r="173" spans="1:25" s="1145" customFormat="1" ht="24">
      <c r="B173" s="1158"/>
      <c r="C173" s="1155" t="s">
        <v>572</v>
      </c>
      <c r="D173" s="1433">
        <v>6</v>
      </c>
      <c r="E173" s="1167" t="s">
        <v>203</v>
      </c>
      <c r="F173" s="1258">
        <f t="shared" si="36"/>
        <v>57500</v>
      </c>
      <c r="G173" s="1258">
        <f t="shared" si="34"/>
        <v>57500</v>
      </c>
      <c r="H173" s="1238"/>
      <c r="I173" s="1239"/>
      <c r="J173" s="1239">
        <v>57500</v>
      </c>
      <c r="K173" s="1239"/>
      <c r="L173" s="1239"/>
      <c r="M173" s="1258">
        <f t="shared" si="37"/>
        <v>0</v>
      </c>
      <c r="N173" s="1251"/>
      <c r="O173" s="1251"/>
      <c r="P173" s="1251"/>
      <c r="Q173" s="1242"/>
      <c r="R173" s="1251"/>
      <c r="S173" s="1242"/>
      <c r="T173" s="1251"/>
      <c r="U173" s="1242"/>
      <c r="V173" s="1242"/>
      <c r="W173" s="1242"/>
      <c r="X173" s="1242"/>
      <c r="Y173" s="1242"/>
    </row>
    <row r="174" spans="1:25" s="1145" customFormat="1" ht="60">
      <c r="B174" s="1154"/>
      <c r="C174" s="1155" t="s">
        <v>572</v>
      </c>
      <c r="D174" s="1435">
        <v>7</v>
      </c>
      <c r="E174" s="1162" t="s">
        <v>700</v>
      </c>
      <c r="F174" s="1258">
        <f t="shared" si="36"/>
        <v>106596</v>
      </c>
      <c r="G174" s="1258">
        <f t="shared" si="34"/>
        <v>0</v>
      </c>
      <c r="H174" s="1238"/>
      <c r="I174" s="1239"/>
      <c r="J174" s="1239"/>
      <c r="K174" s="1239"/>
      <c r="L174" s="1239"/>
      <c r="M174" s="1258">
        <f t="shared" si="37"/>
        <v>106596</v>
      </c>
      <c r="N174" s="1240">
        <v>6600</v>
      </c>
      <c r="O174" s="1240">
        <v>9620</v>
      </c>
      <c r="P174" s="1240">
        <v>9000</v>
      </c>
      <c r="Q174" s="1238">
        <v>9000</v>
      </c>
      <c r="R174" s="1240">
        <v>6800</v>
      </c>
      <c r="S174" s="1240">
        <v>9000</v>
      </c>
      <c r="T174" s="1240">
        <v>9000</v>
      </c>
      <c r="U174" s="1240">
        <v>9000</v>
      </c>
      <c r="V174" s="1240">
        <v>4500</v>
      </c>
      <c r="W174" s="1240">
        <v>9000</v>
      </c>
      <c r="X174" s="1240">
        <v>16076</v>
      </c>
      <c r="Y174" s="1240">
        <v>9000</v>
      </c>
    </row>
    <row r="175" spans="1:25" s="1145" customFormat="1" ht="24">
      <c r="B175" s="1154"/>
      <c r="C175" s="1155" t="s">
        <v>572</v>
      </c>
      <c r="D175" s="1433">
        <v>8</v>
      </c>
      <c r="E175" s="1163" t="s">
        <v>168</v>
      </c>
      <c r="F175" s="1258">
        <f t="shared" si="36"/>
        <v>135800</v>
      </c>
      <c r="G175" s="1258">
        <f t="shared" si="34"/>
        <v>0</v>
      </c>
      <c r="H175" s="1238"/>
      <c r="I175" s="1239"/>
      <c r="J175" s="1239"/>
      <c r="K175" s="1239"/>
      <c r="L175" s="1239"/>
      <c r="M175" s="1258">
        <f t="shared" si="37"/>
        <v>135800</v>
      </c>
      <c r="N175" s="1240">
        <v>30000</v>
      </c>
      <c r="O175" s="1240"/>
      <c r="P175" s="1240">
        <v>12600</v>
      </c>
      <c r="Q175" s="1238">
        <v>15500</v>
      </c>
      <c r="R175" s="1240">
        <v>20000</v>
      </c>
      <c r="S175" s="1240">
        <v>7500</v>
      </c>
      <c r="T175" s="1240">
        <v>19000</v>
      </c>
      <c r="U175" s="1240">
        <v>11400</v>
      </c>
      <c r="V175" s="1240"/>
      <c r="W175" s="1240">
        <v>9900</v>
      </c>
      <c r="X175" s="1240"/>
      <c r="Y175" s="1240">
        <v>9900</v>
      </c>
    </row>
    <row r="176" spans="1:25" s="1145" customFormat="1" ht="96">
      <c r="B176" s="1154"/>
      <c r="C176" s="1155" t="s">
        <v>572</v>
      </c>
      <c r="D176" s="1435">
        <v>9</v>
      </c>
      <c r="E176" s="1163" t="s">
        <v>169</v>
      </c>
      <c r="F176" s="1258">
        <f t="shared" si="36"/>
        <v>50000</v>
      </c>
      <c r="G176" s="1258">
        <f t="shared" si="34"/>
        <v>50000</v>
      </c>
      <c r="H176" s="1238"/>
      <c r="I176" s="1239"/>
      <c r="J176" s="1239">
        <v>50000</v>
      </c>
      <c r="K176" s="1239"/>
      <c r="L176" s="1239"/>
      <c r="M176" s="1258">
        <f t="shared" si="37"/>
        <v>0</v>
      </c>
      <c r="N176" s="1240"/>
      <c r="O176" s="1240"/>
      <c r="P176" s="1240"/>
      <c r="Q176" s="1238"/>
      <c r="R176" s="1255"/>
      <c r="S176" s="1240"/>
      <c r="T176" s="1240"/>
      <c r="U176" s="1240"/>
      <c r="V176" s="1240"/>
      <c r="W176" s="1240"/>
      <c r="X176" s="1240"/>
      <c r="Y176" s="1240"/>
    </row>
    <row r="177" spans="1:25" s="1145" customFormat="1" ht="36">
      <c r="B177" s="1154"/>
      <c r="C177" s="1155" t="s">
        <v>572</v>
      </c>
      <c r="D177" s="1433">
        <v>10</v>
      </c>
      <c r="E177" s="1163" t="s">
        <v>851</v>
      </c>
      <c r="F177" s="1258">
        <f t="shared" si="36"/>
        <v>150000</v>
      </c>
      <c r="G177" s="1258">
        <f t="shared" si="34"/>
        <v>150000</v>
      </c>
      <c r="H177" s="1238"/>
      <c r="I177" s="1239"/>
      <c r="J177" s="1239">
        <v>150000</v>
      </c>
      <c r="K177" s="1239"/>
      <c r="L177" s="1239"/>
      <c r="M177" s="1258">
        <f t="shared" si="37"/>
        <v>0</v>
      </c>
      <c r="N177" s="1240"/>
      <c r="O177" s="1240"/>
      <c r="P177" s="1240"/>
      <c r="Q177" s="1238"/>
      <c r="R177" s="1255"/>
      <c r="S177" s="1240"/>
      <c r="T177" s="1240"/>
      <c r="U177" s="1240"/>
      <c r="V177" s="1240"/>
      <c r="W177" s="1240"/>
      <c r="X177" s="1240"/>
      <c r="Y177" s="1240"/>
    </row>
    <row r="178" spans="1:25" s="1145" customFormat="1">
      <c r="B178" s="1154"/>
      <c r="C178" s="1155" t="s">
        <v>572</v>
      </c>
      <c r="D178" s="1435">
        <v>11</v>
      </c>
      <c r="E178" s="1163" t="s">
        <v>171</v>
      </c>
      <c r="F178" s="1258">
        <f t="shared" si="36"/>
        <v>372000</v>
      </c>
      <c r="G178" s="1258">
        <f t="shared" si="34"/>
        <v>372000</v>
      </c>
      <c r="H178" s="1238"/>
      <c r="I178" s="1239"/>
      <c r="J178" s="1239">
        <v>372000</v>
      </c>
      <c r="K178" s="1239"/>
      <c r="L178" s="1239"/>
      <c r="M178" s="1258">
        <f t="shared" si="37"/>
        <v>0</v>
      </c>
      <c r="N178" s="1240"/>
      <c r="O178" s="1240"/>
      <c r="P178" s="1240"/>
      <c r="Q178" s="1240"/>
      <c r="R178" s="1240"/>
      <c r="S178" s="1240"/>
      <c r="T178" s="1240"/>
      <c r="U178" s="1240"/>
      <c r="V178" s="1240"/>
      <c r="W178" s="1240"/>
      <c r="X178" s="1240"/>
      <c r="Y178" s="1240"/>
    </row>
    <row r="179" spans="1:25" s="1164" customFormat="1" ht="24">
      <c r="A179" s="1164" t="s">
        <v>808</v>
      </c>
      <c r="B179" s="1160" t="s">
        <v>277</v>
      </c>
      <c r="C179" s="1149" t="s">
        <v>572</v>
      </c>
      <c r="D179" s="1433"/>
      <c r="E179" s="1161" t="s">
        <v>26</v>
      </c>
      <c r="F179" s="1232">
        <f t="shared" si="36"/>
        <v>905336</v>
      </c>
      <c r="G179" s="1232">
        <f t="shared" si="34"/>
        <v>84200</v>
      </c>
      <c r="H179" s="1271">
        <f t="shared" ref="H179:Y179" si="40">SUM(H180:H184)</f>
        <v>0</v>
      </c>
      <c r="I179" s="1271">
        <f t="shared" si="40"/>
        <v>0</v>
      </c>
      <c r="J179" s="1271">
        <f t="shared" si="40"/>
        <v>84200</v>
      </c>
      <c r="K179" s="1271">
        <f t="shared" si="40"/>
        <v>0</v>
      </c>
      <c r="L179" s="1271">
        <f t="shared" si="40"/>
        <v>0</v>
      </c>
      <c r="M179" s="1271">
        <f t="shared" si="40"/>
        <v>821136</v>
      </c>
      <c r="N179" s="1271">
        <f t="shared" si="40"/>
        <v>131300</v>
      </c>
      <c r="O179" s="1271">
        <f t="shared" si="40"/>
        <v>33960</v>
      </c>
      <c r="P179" s="1271">
        <f t="shared" si="40"/>
        <v>74160</v>
      </c>
      <c r="Q179" s="1271">
        <f t="shared" si="40"/>
        <v>168670</v>
      </c>
      <c r="R179" s="1271">
        <f t="shared" si="40"/>
        <v>74236</v>
      </c>
      <c r="S179" s="1271">
        <f t="shared" si="40"/>
        <v>36300</v>
      </c>
      <c r="T179" s="1271">
        <f t="shared" si="40"/>
        <v>70050</v>
      </c>
      <c r="U179" s="1271">
        <f t="shared" si="40"/>
        <v>51000</v>
      </c>
      <c r="V179" s="1271">
        <f t="shared" si="40"/>
        <v>52800</v>
      </c>
      <c r="W179" s="1271">
        <f t="shared" si="40"/>
        <v>37740</v>
      </c>
      <c r="X179" s="1271">
        <f t="shared" si="40"/>
        <v>52700</v>
      </c>
      <c r="Y179" s="1271">
        <f t="shared" si="40"/>
        <v>38220</v>
      </c>
    </row>
    <row r="180" spans="1:25" s="1145" customFormat="1" ht="48">
      <c r="B180" s="1158"/>
      <c r="C180" s="1155" t="s">
        <v>572</v>
      </c>
      <c r="D180" s="1435">
        <v>1</v>
      </c>
      <c r="E180" s="1167" t="s">
        <v>275</v>
      </c>
      <c r="F180" s="1258">
        <f t="shared" si="36"/>
        <v>476433</v>
      </c>
      <c r="G180" s="1258">
        <f t="shared" si="34"/>
        <v>0</v>
      </c>
      <c r="H180" s="1238"/>
      <c r="I180" s="1239"/>
      <c r="J180" s="1239"/>
      <c r="K180" s="1239"/>
      <c r="L180" s="1239"/>
      <c r="M180" s="1258">
        <f t="shared" si="37"/>
        <v>476433</v>
      </c>
      <c r="N180" s="1251">
        <v>91500</v>
      </c>
      <c r="O180" s="1251">
        <v>11323</v>
      </c>
      <c r="P180" s="1251">
        <v>48000</v>
      </c>
      <c r="Q180" s="1242">
        <v>54000</v>
      </c>
      <c r="R180" s="1251">
        <v>20800</v>
      </c>
      <c r="S180" s="1242">
        <v>29300</v>
      </c>
      <c r="T180" s="1251">
        <v>59300</v>
      </c>
      <c r="U180" s="1242">
        <v>42750</v>
      </c>
      <c r="V180" s="1251">
        <v>22400</v>
      </c>
      <c r="W180" s="1242">
        <v>30740</v>
      </c>
      <c r="X180" s="1251">
        <v>35100</v>
      </c>
      <c r="Y180" s="1242">
        <v>31220</v>
      </c>
    </row>
    <row r="181" spans="1:25" s="1088" customFormat="1" ht="36">
      <c r="B181" s="1158"/>
      <c r="C181" s="1155" t="s">
        <v>572</v>
      </c>
      <c r="D181" s="1435">
        <v>2</v>
      </c>
      <c r="E181" s="1167" t="s">
        <v>183</v>
      </c>
      <c r="F181" s="1258">
        <f t="shared" si="36"/>
        <v>194633</v>
      </c>
      <c r="G181" s="1258">
        <f t="shared" si="34"/>
        <v>32000</v>
      </c>
      <c r="H181" s="1238"/>
      <c r="I181" s="1239"/>
      <c r="J181" s="1239">
        <v>32000</v>
      </c>
      <c r="K181" s="1239"/>
      <c r="L181" s="1239"/>
      <c r="M181" s="1258">
        <f t="shared" si="37"/>
        <v>162633</v>
      </c>
      <c r="N181" s="1251">
        <v>14400</v>
      </c>
      <c r="O181" s="1251">
        <v>17637</v>
      </c>
      <c r="P181" s="1251">
        <v>6160</v>
      </c>
      <c r="Q181" s="1242">
        <v>45000</v>
      </c>
      <c r="R181" s="1251">
        <v>41436</v>
      </c>
      <c r="S181" s="1242"/>
      <c r="T181" s="1251"/>
      <c r="U181" s="1242">
        <v>0</v>
      </c>
      <c r="V181" s="1251">
        <v>22400</v>
      </c>
      <c r="W181" s="1242"/>
      <c r="X181" s="1251">
        <v>15600</v>
      </c>
      <c r="Y181" s="1242"/>
    </row>
    <row r="182" spans="1:25" s="1088" customFormat="1" ht="36">
      <c r="B182" s="1158"/>
      <c r="C182" s="1155" t="s">
        <v>572</v>
      </c>
      <c r="D182" s="1435">
        <v>3</v>
      </c>
      <c r="E182" s="1168" t="s">
        <v>184</v>
      </c>
      <c r="F182" s="1258">
        <f t="shared" si="36"/>
        <v>41000</v>
      </c>
      <c r="G182" s="1258">
        <f t="shared" si="34"/>
        <v>41000</v>
      </c>
      <c r="H182" s="1238"/>
      <c r="I182" s="1239"/>
      <c r="J182" s="1239">
        <v>41000</v>
      </c>
      <c r="K182" s="1239"/>
      <c r="L182" s="1239"/>
      <c r="M182" s="1258">
        <f t="shared" si="37"/>
        <v>0</v>
      </c>
      <c r="N182" s="1251"/>
      <c r="O182" s="1251"/>
      <c r="P182" s="1251"/>
      <c r="Q182" s="1242"/>
      <c r="R182" s="1251"/>
      <c r="S182" s="1242"/>
      <c r="T182" s="1251"/>
      <c r="U182" s="1242">
        <v>0</v>
      </c>
      <c r="V182" s="1242"/>
      <c r="W182" s="1242"/>
      <c r="X182" s="1251"/>
      <c r="Y182" s="1242"/>
    </row>
    <row r="183" spans="1:25" s="1088" customFormat="1" ht="84">
      <c r="B183" s="1158"/>
      <c r="C183" s="1155" t="s">
        <v>572</v>
      </c>
      <c r="D183" s="1435">
        <v>4</v>
      </c>
      <c r="E183" s="1167" t="s">
        <v>276</v>
      </c>
      <c r="F183" s="1258">
        <f t="shared" si="36"/>
        <v>131770</v>
      </c>
      <c r="G183" s="1258">
        <f t="shared" si="34"/>
        <v>11200</v>
      </c>
      <c r="H183" s="1238"/>
      <c r="I183" s="1239"/>
      <c r="J183" s="1239">
        <v>11200</v>
      </c>
      <c r="K183" s="1239"/>
      <c r="L183" s="1239"/>
      <c r="M183" s="1258">
        <f t="shared" si="37"/>
        <v>120570</v>
      </c>
      <c r="N183" s="1251">
        <v>17900</v>
      </c>
      <c r="O183" s="1251">
        <v>2000</v>
      </c>
      <c r="P183" s="1251">
        <v>20000</v>
      </c>
      <c r="Q183" s="1242">
        <v>54670</v>
      </c>
      <c r="R183" s="1251">
        <v>12000</v>
      </c>
      <c r="S183" s="1242">
        <v>2000</v>
      </c>
      <c r="T183" s="1251">
        <v>2000</v>
      </c>
      <c r="U183" s="1242">
        <v>2000</v>
      </c>
      <c r="V183" s="1242">
        <v>2000</v>
      </c>
      <c r="W183" s="1242">
        <v>2000</v>
      </c>
      <c r="X183" s="1242">
        <v>2000</v>
      </c>
      <c r="Y183" s="1242">
        <v>2000</v>
      </c>
    </row>
    <row r="184" spans="1:25" s="1145" customFormat="1" ht="36">
      <c r="B184" s="1154"/>
      <c r="C184" s="1155" t="s">
        <v>572</v>
      </c>
      <c r="D184" s="1435">
        <v>5</v>
      </c>
      <c r="E184" s="1163" t="s">
        <v>185</v>
      </c>
      <c r="F184" s="1258">
        <f t="shared" si="36"/>
        <v>61500</v>
      </c>
      <c r="G184" s="1258">
        <f t="shared" si="34"/>
        <v>0</v>
      </c>
      <c r="H184" s="1238"/>
      <c r="I184" s="1239"/>
      <c r="J184" s="1239"/>
      <c r="K184" s="1239"/>
      <c r="L184" s="1239"/>
      <c r="M184" s="1258">
        <f t="shared" si="37"/>
        <v>61500</v>
      </c>
      <c r="N184" s="1240">
        <v>7500</v>
      </c>
      <c r="O184" s="1240">
        <v>3000</v>
      </c>
      <c r="P184" s="1240"/>
      <c r="Q184" s="1238">
        <v>15000</v>
      </c>
      <c r="R184" s="1240"/>
      <c r="S184" s="1238">
        <v>5000</v>
      </c>
      <c r="T184" s="1240">
        <v>8750</v>
      </c>
      <c r="U184" s="1238">
        <v>6250</v>
      </c>
      <c r="V184" s="1238">
        <v>6000</v>
      </c>
      <c r="W184" s="1238">
        <v>5000</v>
      </c>
      <c r="X184" s="1238"/>
      <c r="Y184" s="1238">
        <v>5000</v>
      </c>
    </row>
    <row r="185" spans="1:25" s="1075" customFormat="1" ht="48">
      <c r="A185" s="1075">
        <v>7</v>
      </c>
      <c r="B185" s="1119">
        <v>7</v>
      </c>
      <c r="C185" s="1169" t="s">
        <v>4</v>
      </c>
      <c r="D185" s="1436"/>
      <c r="E185" s="1308" t="s">
        <v>25</v>
      </c>
      <c r="F185" s="1232">
        <f t="shared" si="36"/>
        <v>598903</v>
      </c>
      <c r="G185" s="1232">
        <f t="shared" si="34"/>
        <v>196899</v>
      </c>
      <c r="H185" s="1233">
        <f>SUM(H186:H190)</f>
        <v>0</v>
      </c>
      <c r="I185" s="1234">
        <f>SUM(I186:I190)</f>
        <v>0</v>
      </c>
      <c r="J185" s="1234">
        <f>SUM(J186:J190)</f>
        <v>0</v>
      </c>
      <c r="K185" s="1234">
        <f>SUM(K186:K190)</f>
        <v>0</v>
      </c>
      <c r="L185" s="1234">
        <f>SUM(L186:L190)</f>
        <v>196899</v>
      </c>
      <c r="M185" s="1232">
        <f t="shared" si="37"/>
        <v>402004</v>
      </c>
      <c r="N185" s="1233">
        <f t="shared" ref="N185:Y185" si="41">SUM(N186:N190)</f>
        <v>129971</v>
      </c>
      <c r="O185" s="1233">
        <f t="shared" si="41"/>
        <v>8000</v>
      </c>
      <c r="P185" s="1233">
        <f t="shared" si="41"/>
        <v>4678</v>
      </c>
      <c r="Q185" s="1233">
        <f t="shared" si="41"/>
        <v>129000</v>
      </c>
      <c r="R185" s="1233">
        <f t="shared" si="41"/>
        <v>24080</v>
      </c>
      <c r="S185" s="1233">
        <f t="shared" si="41"/>
        <v>26826</v>
      </c>
      <c r="T185" s="1233">
        <f t="shared" si="41"/>
        <v>16829</v>
      </c>
      <c r="U185" s="1233">
        <f t="shared" si="41"/>
        <v>0</v>
      </c>
      <c r="V185" s="1233">
        <f t="shared" si="41"/>
        <v>3660</v>
      </c>
      <c r="W185" s="1233">
        <f t="shared" si="41"/>
        <v>31950</v>
      </c>
      <c r="X185" s="1233">
        <f t="shared" si="41"/>
        <v>5650</v>
      </c>
      <c r="Y185" s="1233">
        <f t="shared" si="41"/>
        <v>21360</v>
      </c>
    </row>
    <row r="186" spans="1:25" s="1145" customFormat="1">
      <c r="B186" s="1158"/>
      <c r="C186" s="1154" t="s">
        <v>4</v>
      </c>
      <c r="D186" s="1437">
        <v>1</v>
      </c>
      <c r="E186" s="1167" t="s">
        <v>92</v>
      </c>
      <c r="F186" s="1258">
        <f t="shared" si="36"/>
        <v>289865</v>
      </c>
      <c r="G186" s="1258">
        <f t="shared" si="34"/>
        <v>110939</v>
      </c>
      <c r="H186" s="1238"/>
      <c r="I186" s="1239"/>
      <c r="J186" s="1239"/>
      <c r="K186" s="1239"/>
      <c r="L186" s="1239">
        <f>8954+70340+21520+5701+4424</f>
        <v>110939</v>
      </c>
      <c r="M186" s="1258">
        <f t="shared" si="37"/>
        <v>178926</v>
      </c>
      <c r="N186" s="1238">
        <v>64680</v>
      </c>
      <c r="O186" s="1238">
        <v>8000</v>
      </c>
      <c r="P186" s="1242">
        <v>900</v>
      </c>
      <c r="Q186" s="1242">
        <v>15000</v>
      </c>
      <c r="R186" s="1242">
        <v>24080</v>
      </c>
      <c r="S186" s="1238">
        <v>13826</v>
      </c>
      <c r="T186" s="1238"/>
      <c r="U186" s="1238"/>
      <c r="V186" s="1242">
        <v>3060</v>
      </c>
      <c r="W186" s="1242">
        <v>29950</v>
      </c>
      <c r="X186" s="1242">
        <v>2800</v>
      </c>
      <c r="Y186" s="1238">
        <v>16630</v>
      </c>
    </row>
    <row r="187" spans="1:25" s="1145" customFormat="1">
      <c r="B187" s="1158"/>
      <c r="C187" s="1154" t="s">
        <v>4</v>
      </c>
      <c r="D187" s="1437">
        <v>2</v>
      </c>
      <c r="E187" s="1170" t="s">
        <v>701</v>
      </c>
      <c r="F187" s="1258">
        <f t="shared" si="36"/>
        <v>77540</v>
      </c>
      <c r="G187" s="1258">
        <f t="shared" si="34"/>
        <v>57540</v>
      </c>
      <c r="H187" s="1238"/>
      <c r="I187" s="1239"/>
      <c r="J187" s="1239"/>
      <c r="K187" s="1239"/>
      <c r="L187" s="1239">
        <v>57540</v>
      </c>
      <c r="M187" s="1258">
        <f t="shared" si="37"/>
        <v>20000</v>
      </c>
      <c r="N187" s="1238">
        <v>10271</v>
      </c>
      <c r="O187" s="1238"/>
      <c r="P187" s="1242"/>
      <c r="Q187" s="1242"/>
      <c r="R187" s="1242"/>
      <c r="S187" s="1238"/>
      <c r="T187" s="1238">
        <v>6429</v>
      </c>
      <c r="U187" s="1238"/>
      <c r="V187" s="1242">
        <v>600</v>
      </c>
      <c r="W187" s="1242">
        <v>2000</v>
      </c>
      <c r="X187" s="1242">
        <v>450</v>
      </c>
      <c r="Y187" s="1238">
        <v>250</v>
      </c>
    </row>
    <row r="188" spans="1:25" s="1145" customFormat="1">
      <c r="B188" s="1158"/>
      <c r="C188" s="1154" t="s">
        <v>4</v>
      </c>
      <c r="D188" s="1437">
        <v>3</v>
      </c>
      <c r="E188" s="1167" t="s">
        <v>195</v>
      </c>
      <c r="F188" s="1258">
        <f t="shared" si="36"/>
        <v>179698</v>
      </c>
      <c r="G188" s="1258">
        <f t="shared" si="34"/>
        <v>0</v>
      </c>
      <c r="H188" s="1238"/>
      <c r="I188" s="1239"/>
      <c r="J188" s="1239"/>
      <c r="K188" s="1239"/>
      <c r="L188" s="1239"/>
      <c r="M188" s="1258">
        <f t="shared" si="37"/>
        <v>179698</v>
      </c>
      <c r="N188" s="1238">
        <v>55020</v>
      </c>
      <c r="O188" s="1238"/>
      <c r="P188" s="1242">
        <v>3778</v>
      </c>
      <c r="Q188" s="1242">
        <v>97500</v>
      </c>
      <c r="R188" s="1242"/>
      <c r="S188" s="1238">
        <v>13000</v>
      </c>
      <c r="T188" s="1238">
        <v>10400</v>
      </c>
      <c r="U188" s="1238"/>
      <c r="V188" s="1242"/>
      <c r="W188" s="1242"/>
      <c r="X188" s="1242"/>
      <c r="Y188" s="1238">
        <v>0</v>
      </c>
    </row>
    <row r="189" spans="1:25" s="1145" customFormat="1">
      <c r="B189" s="1158"/>
      <c r="C189" s="1154" t="s">
        <v>4</v>
      </c>
      <c r="D189" s="1437">
        <v>4</v>
      </c>
      <c r="E189" s="1167" t="s">
        <v>197</v>
      </c>
      <c r="F189" s="1258">
        <f t="shared" si="36"/>
        <v>6880</v>
      </c>
      <c r="G189" s="1258">
        <f t="shared" si="34"/>
        <v>0</v>
      </c>
      <c r="H189" s="1238"/>
      <c r="I189" s="1239"/>
      <c r="J189" s="1239"/>
      <c r="K189" s="1239"/>
      <c r="L189" s="1239"/>
      <c r="M189" s="1258">
        <f t="shared" si="37"/>
        <v>6880</v>
      </c>
      <c r="N189" s="1238">
        <v>0</v>
      </c>
      <c r="O189" s="1238"/>
      <c r="P189" s="1242"/>
      <c r="Q189" s="1242"/>
      <c r="R189" s="1242"/>
      <c r="S189" s="1238">
        <v>0</v>
      </c>
      <c r="T189" s="1238"/>
      <c r="U189" s="1238"/>
      <c r="V189" s="1242"/>
      <c r="W189" s="1242"/>
      <c r="X189" s="1242">
        <v>2400</v>
      </c>
      <c r="Y189" s="1238">
        <v>4480</v>
      </c>
    </row>
    <row r="190" spans="1:25" s="1145" customFormat="1" ht="24">
      <c r="B190" s="1158"/>
      <c r="C190" s="1154" t="s">
        <v>4</v>
      </c>
      <c r="D190" s="1437">
        <v>5</v>
      </c>
      <c r="E190" s="1167" t="s">
        <v>198</v>
      </c>
      <c r="F190" s="1258">
        <f t="shared" si="36"/>
        <v>44920</v>
      </c>
      <c r="G190" s="1258">
        <f t="shared" si="34"/>
        <v>28420</v>
      </c>
      <c r="H190" s="1238"/>
      <c r="I190" s="1239"/>
      <c r="J190" s="1239"/>
      <c r="K190" s="1239"/>
      <c r="L190" s="1239">
        <f>23750+4670</f>
        <v>28420</v>
      </c>
      <c r="M190" s="1258">
        <f t="shared" si="37"/>
        <v>16500</v>
      </c>
      <c r="N190" s="1238">
        <v>0</v>
      </c>
      <c r="O190" s="1238"/>
      <c r="P190" s="1242"/>
      <c r="Q190" s="1242">
        <v>16500</v>
      </c>
      <c r="R190" s="1242"/>
      <c r="S190" s="1238">
        <v>0</v>
      </c>
      <c r="T190" s="1238"/>
      <c r="U190" s="1238"/>
      <c r="V190" s="1242"/>
      <c r="W190" s="1242"/>
      <c r="X190" s="1242"/>
      <c r="Y190" s="1238">
        <v>0</v>
      </c>
    </row>
    <row r="191" spans="1:25" s="1075" customFormat="1" ht="36">
      <c r="A191" s="1075">
        <v>8</v>
      </c>
      <c r="B191" s="1171">
        <v>8</v>
      </c>
      <c r="C191" s="1172" t="s">
        <v>34</v>
      </c>
      <c r="D191" s="1438"/>
      <c r="E191" s="1286" t="s">
        <v>533</v>
      </c>
      <c r="F191" s="1232">
        <f t="shared" si="36"/>
        <v>1215705</v>
      </c>
      <c r="G191" s="1232">
        <f t="shared" ref="G191:G232" si="42">SUM(H191:L191)</f>
        <v>260150</v>
      </c>
      <c r="H191" s="1233">
        <f>SUM(H192:H212)</f>
        <v>260150</v>
      </c>
      <c r="I191" s="1234">
        <f>SUM(I192:I212)</f>
        <v>0</v>
      </c>
      <c r="J191" s="1234">
        <f>SUM(J192:J212)</f>
        <v>0</v>
      </c>
      <c r="K191" s="1234">
        <f>SUM(K192:K212)</f>
        <v>0</v>
      </c>
      <c r="L191" s="1234">
        <f>SUM(L192:L212)</f>
        <v>0</v>
      </c>
      <c r="M191" s="1232">
        <f t="shared" ref="M191:M232" si="43">SUM(N191:Y191)</f>
        <v>955555</v>
      </c>
      <c r="N191" s="1233">
        <f t="shared" ref="N191:Y191" si="44">SUM(N192:N212)</f>
        <v>229848</v>
      </c>
      <c r="O191" s="1233">
        <f t="shared" si="44"/>
        <v>62900</v>
      </c>
      <c r="P191" s="1233">
        <f t="shared" si="44"/>
        <v>143565</v>
      </c>
      <c r="Q191" s="1233">
        <f t="shared" si="44"/>
        <v>35600</v>
      </c>
      <c r="R191" s="1233">
        <f t="shared" si="44"/>
        <v>95136</v>
      </c>
      <c r="S191" s="1233">
        <f t="shared" si="44"/>
        <v>52040</v>
      </c>
      <c r="T191" s="1233">
        <f t="shared" si="44"/>
        <v>17875</v>
      </c>
      <c r="U191" s="1233">
        <f t="shared" si="44"/>
        <v>87264</v>
      </c>
      <c r="V191" s="1233">
        <f t="shared" si="44"/>
        <v>66967</v>
      </c>
      <c r="W191" s="1233">
        <f t="shared" si="44"/>
        <v>66210</v>
      </c>
      <c r="X191" s="1233">
        <f t="shared" si="44"/>
        <v>62650</v>
      </c>
      <c r="Y191" s="1233">
        <f t="shared" si="44"/>
        <v>35500</v>
      </c>
    </row>
    <row r="192" spans="1:25" ht="24">
      <c r="B192" s="1134"/>
      <c r="C192" s="1173" t="s">
        <v>34</v>
      </c>
      <c r="D192" s="1439">
        <v>1</v>
      </c>
      <c r="E192" s="1102" t="s">
        <v>99</v>
      </c>
      <c r="F192" s="1232">
        <f t="shared" si="36"/>
        <v>21400</v>
      </c>
      <c r="G192" s="1232">
        <f t="shared" si="42"/>
        <v>21400</v>
      </c>
      <c r="H192" s="1238">
        <v>21400</v>
      </c>
      <c r="I192" s="1239"/>
      <c r="J192" s="1239"/>
      <c r="K192" s="1239"/>
      <c r="L192" s="1239"/>
      <c r="M192" s="1232">
        <f t="shared" si="43"/>
        <v>0</v>
      </c>
      <c r="N192" s="1240"/>
      <c r="O192" s="1244"/>
      <c r="P192" s="1244"/>
      <c r="Q192" s="1244"/>
      <c r="R192" s="1254"/>
      <c r="S192" s="1244"/>
      <c r="T192" s="1244"/>
      <c r="U192" s="1244"/>
      <c r="V192" s="1240"/>
      <c r="W192" s="1244"/>
      <c r="X192" s="1244"/>
      <c r="Y192" s="1240"/>
    </row>
    <row r="193" spans="2:25" ht="24">
      <c r="B193" s="1134"/>
      <c r="C193" s="1173" t="s">
        <v>34</v>
      </c>
      <c r="D193" s="1439">
        <v>2</v>
      </c>
      <c r="E193" s="1102" t="s">
        <v>621</v>
      </c>
      <c r="F193" s="1232">
        <f t="shared" si="36"/>
        <v>21400</v>
      </c>
      <c r="G193" s="1232">
        <f t="shared" si="42"/>
        <v>21400</v>
      </c>
      <c r="H193" s="1238">
        <v>21400</v>
      </c>
      <c r="I193" s="1239"/>
      <c r="J193" s="1239"/>
      <c r="K193" s="1239"/>
      <c r="L193" s="1239"/>
      <c r="M193" s="1232">
        <f t="shared" si="43"/>
        <v>0</v>
      </c>
      <c r="N193" s="1240"/>
      <c r="O193" s="1244"/>
      <c r="P193" s="1244"/>
      <c r="Q193" s="1244"/>
      <c r="R193" s="1254"/>
      <c r="S193" s="1244"/>
      <c r="T193" s="1244"/>
      <c r="U193" s="1244"/>
      <c r="V193" s="1251"/>
      <c r="W193" s="1244"/>
      <c r="X193" s="1244"/>
      <c r="Y193" s="1240"/>
    </row>
    <row r="194" spans="2:25" ht="36">
      <c r="B194" s="1134"/>
      <c r="C194" s="1173" t="s">
        <v>34</v>
      </c>
      <c r="D194" s="1439">
        <v>3</v>
      </c>
      <c r="E194" s="1102" t="s">
        <v>100</v>
      </c>
      <c r="F194" s="1232">
        <f t="shared" si="36"/>
        <v>185520</v>
      </c>
      <c r="G194" s="1232">
        <f t="shared" si="42"/>
        <v>0</v>
      </c>
      <c r="H194" s="1238"/>
      <c r="I194" s="1239"/>
      <c r="J194" s="1239"/>
      <c r="K194" s="1239"/>
      <c r="L194" s="1239"/>
      <c r="M194" s="1232">
        <f t="shared" si="43"/>
        <v>185520</v>
      </c>
      <c r="N194" s="1240">
        <v>19200</v>
      </c>
      <c r="O194" s="1244">
        <v>18000</v>
      </c>
      <c r="P194" s="1244">
        <v>18000</v>
      </c>
      <c r="Q194" s="1244">
        <v>18000</v>
      </c>
      <c r="R194" s="1254">
        <v>16800</v>
      </c>
      <c r="S194" s="1244">
        <v>22720</v>
      </c>
      <c r="T194" s="1244"/>
      <c r="U194" s="1244">
        <v>9900</v>
      </c>
      <c r="V194" s="1251">
        <v>6200</v>
      </c>
      <c r="W194" s="1244">
        <v>32400</v>
      </c>
      <c r="X194" s="1244">
        <v>8100</v>
      </c>
      <c r="Y194" s="1238">
        <v>16200</v>
      </c>
    </row>
    <row r="195" spans="2:25" ht="60">
      <c r="B195" s="1134"/>
      <c r="C195" s="1173" t="s">
        <v>34</v>
      </c>
      <c r="D195" s="1439">
        <v>4</v>
      </c>
      <c r="E195" s="1102" t="s">
        <v>101</v>
      </c>
      <c r="F195" s="1232">
        <f t="shared" ref="F195:F232" si="45">G195+M195</f>
        <v>251048</v>
      </c>
      <c r="G195" s="1232">
        <f t="shared" si="42"/>
        <v>49600</v>
      </c>
      <c r="H195" s="1238">
        <v>49600</v>
      </c>
      <c r="I195" s="1239"/>
      <c r="J195" s="1239"/>
      <c r="K195" s="1239"/>
      <c r="L195" s="1239"/>
      <c r="M195" s="1232">
        <f t="shared" si="43"/>
        <v>201448</v>
      </c>
      <c r="N195" s="1238">
        <v>176248</v>
      </c>
      <c r="O195" s="1244"/>
      <c r="P195" s="1254">
        <v>5200</v>
      </c>
      <c r="Q195" s="1244"/>
      <c r="R195" s="1254">
        <v>20000</v>
      </c>
      <c r="S195" s="1254"/>
      <c r="T195" s="1244"/>
      <c r="U195" s="1254"/>
      <c r="V195" s="1251"/>
      <c r="W195" s="1254"/>
      <c r="X195" s="1254"/>
      <c r="Y195" s="1238"/>
    </row>
    <row r="196" spans="2:25" ht="36">
      <c r="B196" s="1134"/>
      <c r="C196" s="1173" t="s">
        <v>34</v>
      </c>
      <c r="D196" s="1439">
        <v>5</v>
      </c>
      <c r="E196" s="1102" t="s">
        <v>622</v>
      </c>
      <c r="F196" s="1232">
        <f t="shared" si="45"/>
        <v>255805</v>
      </c>
      <c r="G196" s="1232">
        <f t="shared" si="42"/>
        <v>0</v>
      </c>
      <c r="H196" s="1238"/>
      <c r="I196" s="1239"/>
      <c r="J196" s="1239"/>
      <c r="K196" s="1239"/>
      <c r="L196" s="1239"/>
      <c r="M196" s="1232">
        <f t="shared" si="43"/>
        <v>255805</v>
      </c>
      <c r="N196" s="1238">
        <v>26300</v>
      </c>
      <c r="O196" s="1244">
        <v>29000</v>
      </c>
      <c r="P196" s="1254">
        <v>50000</v>
      </c>
      <c r="Q196" s="1244">
        <v>17600</v>
      </c>
      <c r="R196" s="1254">
        <v>19000</v>
      </c>
      <c r="S196" s="1254">
        <v>1000</v>
      </c>
      <c r="T196" s="1244">
        <v>13475</v>
      </c>
      <c r="U196" s="1254">
        <v>45160</v>
      </c>
      <c r="V196" s="1251">
        <v>20000</v>
      </c>
      <c r="W196" s="1254">
        <v>1290</v>
      </c>
      <c r="X196" s="1254">
        <v>16080</v>
      </c>
      <c r="Y196" s="1238">
        <v>16900</v>
      </c>
    </row>
    <row r="197" spans="2:25">
      <c r="B197" s="1134"/>
      <c r="C197" s="1173" t="s">
        <v>34</v>
      </c>
      <c r="D197" s="1439">
        <v>6</v>
      </c>
      <c r="E197" s="1102" t="s">
        <v>102</v>
      </c>
      <c r="F197" s="1232">
        <f t="shared" si="45"/>
        <v>5850</v>
      </c>
      <c r="G197" s="1232">
        <f t="shared" si="42"/>
        <v>0</v>
      </c>
      <c r="H197" s="1238"/>
      <c r="I197" s="1239"/>
      <c r="J197" s="1239"/>
      <c r="K197" s="1239"/>
      <c r="L197" s="1239"/>
      <c r="M197" s="1232">
        <f t="shared" si="43"/>
        <v>5850</v>
      </c>
      <c r="N197" s="1238"/>
      <c r="O197" s="1244"/>
      <c r="P197" s="1254"/>
      <c r="Q197" s="1254"/>
      <c r="R197" s="1254"/>
      <c r="S197" s="1254"/>
      <c r="T197" s="1244">
        <v>2250</v>
      </c>
      <c r="U197" s="1254"/>
      <c r="V197" s="1254"/>
      <c r="W197" s="1254">
        <v>3600</v>
      </c>
      <c r="X197" s="1254"/>
      <c r="Y197" s="1238"/>
    </row>
    <row r="198" spans="2:25" ht="24">
      <c r="B198" s="1134"/>
      <c r="C198" s="1173" t="s">
        <v>34</v>
      </c>
      <c r="D198" s="1439">
        <v>7</v>
      </c>
      <c r="E198" s="1102" t="s">
        <v>103</v>
      </c>
      <c r="F198" s="1232">
        <f t="shared" si="45"/>
        <v>19100</v>
      </c>
      <c r="G198" s="1232">
        <f t="shared" si="42"/>
        <v>0</v>
      </c>
      <c r="H198" s="1238"/>
      <c r="I198" s="1239"/>
      <c r="J198" s="1239"/>
      <c r="K198" s="1239"/>
      <c r="L198" s="1239"/>
      <c r="M198" s="1232">
        <f t="shared" si="43"/>
        <v>19100</v>
      </c>
      <c r="N198" s="1238"/>
      <c r="O198" s="1244">
        <v>5400</v>
      </c>
      <c r="P198" s="1254"/>
      <c r="Q198" s="1254"/>
      <c r="R198" s="1254">
        <v>2500</v>
      </c>
      <c r="S198" s="1254"/>
      <c r="T198" s="1244">
        <v>400</v>
      </c>
      <c r="U198" s="1244">
        <v>2520</v>
      </c>
      <c r="V198" s="1254"/>
      <c r="W198" s="1254">
        <v>5280</v>
      </c>
      <c r="X198" s="1254">
        <v>3000</v>
      </c>
      <c r="Y198" s="1238"/>
    </row>
    <row r="199" spans="2:25" ht="24">
      <c r="B199" s="1134"/>
      <c r="C199" s="1173" t="s">
        <v>34</v>
      </c>
      <c r="D199" s="1439">
        <v>8</v>
      </c>
      <c r="E199" s="1102" t="s">
        <v>104</v>
      </c>
      <c r="F199" s="1232">
        <f t="shared" si="45"/>
        <v>1750</v>
      </c>
      <c r="G199" s="1232">
        <f t="shared" si="42"/>
        <v>0</v>
      </c>
      <c r="H199" s="1238"/>
      <c r="I199" s="1239"/>
      <c r="J199" s="1239"/>
      <c r="K199" s="1239"/>
      <c r="L199" s="1239"/>
      <c r="M199" s="1232">
        <f t="shared" si="43"/>
        <v>1750</v>
      </c>
      <c r="N199" s="1238"/>
      <c r="O199" s="1244"/>
      <c r="P199" s="1254"/>
      <c r="Q199" s="1254"/>
      <c r="R199" s="1254"/>
      <c r="S199" s="1254"/>
      <c r="T199" s="1244">
        <v>1750</v>
      </c>
      <c r="U199" s="1254"/>
      <c r="V199" s="1254"/>
      <c r="W199" s="1254"/>
      <c r="X199" s="1254"/>
      <c r="Y199" s="1238"/>
    </row>
    <row r="200" spans="2:25" ht="60">
      <c r="B200" s="1134"/>
      <c r="C200" s="1173" t="s">
        <v>34</v>
      </c>
      <c r="D200" s="1439">
        <v>9</v>
      </c>
      <c r="E200" s="1102" t="s">
        <v>105</v>
      </c>
      <c r="F200" s="1232">
        <f t="shared" si="45"/>
        <v>6300</v>
      </c>
      <c r="G200" s="1232">
        <f t="shared" si="42"/>
        <v>0</v>
      </c>
      <c r="H200" s="1238"/>
      <c r="I200" s="1239"/>
      <c r="J200" s="1239"/>
      <c r="K200" s="1239"/>
      <c r="L200" s="1239"/>
      <c r="M200" s="1232">
        <f t="shared" si="43"/>
        <v>6300</v>
      </c>
      <c r="N200" s="1238">
        <v>3300</v>
      </c>
      <c r="O200" s="1244"/>
      <c r="P200" s="1254"/>
      <c r="Q200" s="1254"/>
      <c r="R200" s="1254"/>
      <c r="S200" s="1254"/>
      <c r="T200" s="1244"/>
      <c r="U200" s="1254"/>
      <c r="V200" s="1254"/>
      <c r="W200" s="1254"/>
      <c r="X200" s="1254">
        <v>3000</v>
      </c>
      <c r="Y200" s="1238"/>
    </row>
    <row r="201" spans="2:25" ht="24">
      <c r="B201" s="1134"/>
      <c r="C201" s="1173" t="s">
        <v>34</v>
      </c>
      <c r="D201" s="1439">
        <v>10</v>
      </c>
      <c r="E201" s="1102" t="s">
        <v>106</v>
      </c>
      <c r="F201" s="1232">
        <f t="shared" si="45"/>
        <v>19940</v>
      </c>
      <c r="G201" s="1232">
        <f t="shared" si="42"/>
        <v>0</v>
      </c>
      <c r="H201" s="1238"/>
      <c r="I201" s="1239"/>
      <c r="J201" s="1239"/>
      <c r="K201" s="1239"/>
      <c r="L201" s="1239"/>
      <c r="M201" s="1232">
        <f t="shared" si="43"/>
        <v>19940</v>
      </c>
      <c r="N201" s="1238"/>
      <c r="O201" s="1244">
        <v>6000</v>
      </c>
      <c r="P201" s="1254">
        <v>3400</v>
      </c>
      <c r="Q201" s="1254"/>
      <c r="R201" s="1254">
        <v>3500</v>
      </c>
      <c r="S201" s="1254">
        <v>3540</v>
      </c>
      <c r="T201" s="1244"/>
      <c r="U201" s="1244"/>
      <c r="V201" s="1254">
        <v>2600</v>
      </c>
      <c r="W201" s="1254"/>
      <c r="X201" s="1254">
        <v>900</v>
      </c>
      <c r="Y201" s="1238"/>
    </row>
    <row r="202" spans="2:25" ht="48">
      <c r="B202" s="1134"/>
      <c r="C202" s="1173" t="s">
        <v>34</v>
      </c>
      <c r="D202" s="1439">
        <v>11</v>
      </c>
      <c r="E202" s="1102" t="s">
        <v>107</v>
      </c>
      <c r="F202" s="1232">
        <f t="shared" si="45"/>
        <v>4800</v>
      </c>
      <c r="G202" s="1232">
        <f t="shared" si="42"/>
        <v>0</v>
      </c>
      <c r="H202" s="1238"/>
      <c r="I202" s="1239"/>
      <c r="J202" s="1239"/>
      <c r="K202" s="1239"/>
      <c r="L202" s="1239"/>
      <c r="M202" s="1232">
        <f t="shared" si="43"/>
        <v>4800</v>
      </c>
      <c r="N202" s="1240">
        <v>4800</v>
      </c>
      <c r="O202" s="1244"/>
      <c r="P202" s="1244"/>
      <c r="Q202" s="1244"/>
      <c r="R202" s="1254"/>
      <c r="S202" s="1244"/>
      <c r="T202" s="1244"/>
      <c r="U202" s="1244"/>
      <c r="V202" s="1244"/>
      <c r="W202" s="1244"/>
      <c r="X202" s="1244"/>
      <c r="Y202" s="1240"/>
    </row>
    <row r="203" spans="2:25" ht="36">
      <c r="B203" s="1134"/>
      <c r="C203" s="1173" t="s">
        <v>34</v>
      </c>
      <c r="D203" s="1439">
        <v>12</v>
      </c>
      <c r="E203" s="1102" t="s">
        <v>109</v>
      </c>
      <c r="F203" s="1232">
        <f t="shared" si="45"/>
        <v>45000</v>
      </c>
      <c r="G203" s="1232">
        <f t="shared" si="42"/>
        <v>0</v>
      </c>
      <c r="H203" s="1238"/>
      <c r="I203" s="1239"/>
      <c r="J203" s="1239"/>
      <c r="K203" s="1239"/>
      <c r="L203" s="1239"/>
      <c r="M203" s="1232">
        <f t="shared" si="43"/>
        <v>45000</v>
      </c>
      <c r="N203" s="1240"/>
      <c r="O203" s="1244"/>
      <c r="P203" s="1244">
        <v>45000</v>
      </c>
      <c r="Q203" s="1244"/>
      <c r="R203" s="1254"/>
      <c r="S203" s="1244"/>
      <c r="T203" s="1244"/>
      <c r="U203" s="1244"/>
      <c r="V203" s="1244"/>
      <c r="W203" s="1244"/>
      <c r="X203" s="1244"/>
      <c r="Y203" s="1240"/>
    </row>
    <row r="204" spans="2:25" ht="24">
      <c r="B204" s="1134"/>
      <c r="C204" s="1173" t="s">
        <v>34</v>
      </c>
      <c r="D204" s="1439">
        <v>13</v>
      </c>
      <c r="E204" s="1102" t="s">
        <v>110</v>
      </c>
      <c r="F204" s="1232">
        <f t="shared" si="45"/>
        <v>25200</v>
      </c>
      <c r="G204" s="1232">
        <f t="shared" si="42"/>
        <v>25200</v>
      </c>
      <c r="H204" s="1238">
        <v>25200</v>
      </c>
      <c r="I204" s="1239"/>
      <c r="J204" s="1239"/>
      <c r="K204" s="1239"/>
      <c r="L204" s="1239"/>
      <c r="M204" s="1232">
        <f t="shared" si="43"/>
        <v>0</v>
      </c>
      <c r="N204" s="1240"/>
      <c r="O204" s="1244"/>
      <c r="P204" s="1244"/>
      <c r="Q204" s="1244"/>
      <c r="R204" s="1254"/>
      <c r="S204" s="1244"/>
      <c r="T204" s="1244"/>
      <c r="U204" s="1244"/>
      <c r="V204" s="1244"/>
      <c r="W204" s="1244"/>
      <c r="X204" s="1244"/>
      <c r="Y204" s="1240"/>
    </row>
    <row r="205" spans="2:25" ht="24">
      <c r="B205" s="1134"/>
      <c r="C205" s="1173" t="s">
        <v>34</v>
      </c>
      <c r="D205" s="1439">
        <v>14</v>
      </c>
      <c r="E205" s="1102" t="s">
        <v>111</v>
      </c>
      <c r="F205" s="1232">
        <f t="shared" si="45"/>
        <v>19200</v>
      </c>
      <c r="G205" s="1232">
        <f t="shared" si="42"/>
        <v>19200</v>
      </c>
      <c r="H205" s="1238">
        <v>19200</v>
      </c>
      <c r="I205" s="1239"/>
      <c r="J205" s="1239"/>
      <c r="K205" s="1239"/>
      <c r="L205" s="1239"/>
      <c r="M205" s="1232">
        <f t="shared" si="43"/>
        <v>0</v>
      </c>
      <c r="N205" s="1240"/>
      <c r="O205" s="1244"/>
      <c r="P205" s="1244"/>
      <c r="Q205" s="1244"/>
      <c r="R205" s="1254"/>
      <c r="S205" s="1244"/>
      <c r="T205" s="1244"/>
      <c r="U205" s="1244"/>
      <c r="V205" s="1244"/>
      <c r="W205" s="1244"/>
      <c r="X205" s="1244"/>
      <c r="Y205" s="1240"/>
    </row>
    <row r="206" spans="2:25" ht="24">
      <c r="B206" s="1134"/>
      <c r="C206" s="1173" t="s">
        <v>34</v>
      </c>
      <c r="D206" s="1439">
        <v>15</v>
      </c>
      <c r="E206" s="1102" t="s">
        <v>493</v>
      </c>
      <c r="F206" s="1232">
        <f t="shared" si="45"/>
        <v>105299</v>
      </c>
      <c r="G206" s="1232">
        <f t="shared" si="42"/>
        <v>0</v>
      </c>
      <c r="H206" s="1238"/>
      <c r="I206" s="1239"/>
      <c r="J206" s="1239"/>
      <c r="K206" s="1239"/>
      <c r="L206" s="1239"/>
      <c r="M206" s="1232">
        <f t="shared" si="43"/>
        <v>105299</v>
      </c>
      <c r="N206" s="1240"/>
      <c r="O206" s="1244"/>
      <c r="P206" s="1244">
        <v>21965</v>
      </c>
      <c r="Q206" s="1244"/>
      <c r="R206" s="1254">
        <v>26600</v>
      </c>
      <c r="S206" s="1244"/>
      <c r="T206" s="1244"/>
      <c r="U206" s="1244">
        <v>29684</v>
      </c>
      <c r="V206" s="1244"/>
      <c r="W206" s="1244">
        <v>23640</v>
      </c>
      <c r="X206" s="1244">
        <v>3410</v>
      </c>
      <c r="Y206" s="1240"/>
    </row>
    <row r="207" spans="2:25">
      <c r="B207" s="1134"/>
      <c r="C207" s="1173" t="s">
        <v>34</v>
      </c>
      <c r="D207" s="1439">
        <v>16</v>
      </c>
      <c r="E207" s="1113" t="s">
        <v>494</v>
      </c>
      <c r="F207" s="1232">
        <f t="shared" si="45"/>
        <v>20000</v>
      </c>
      <c r="G207" s="1232">
        <f t="shared" si="42"/>
        <v>0</v>
      </c>
      <c r="H207" s="1238"/>
      <c r="I207" s="1239"/>
      <c r="J207" s="1239"/>
      <c r="K207" s="1239"/>
      <c r="L207" s="1239"/>
      <c r="M207" s="1232">
        <f t="shared" si="43"/>
        <v>20000</v>
      </c>
      <c r="N207" s="1240"/>
      <c r="O207" s="1244"/>
      <c r="P207" s="1244"/>
      <c r="Q207" s="1244"/>
      <c r="R207" s="1267"/>
      <c r="S207" s="1244"/>
      <c r="T207" s="1244"/>
      <c r="U207" s="1244"/>
      <c r="V207" s="1254">
        <v>20000</v>
      </c>
      <c r="W207" s="1244"/>
      <c r="X207" s="1244"/>
      <c r="Y207" s="1240"/>
    </row>
    <row r="208" spans="2:25">
      <c r="B208" s="1134"/>
      <c r="C208" s="1173" t="s">
        <v>34</v>
      </c>
      <c r="D208" s="1439">
        <v>17</v>
      </c>
      <c r="E208" s="1113" t="s">
        <v>291</v>
      </c>
      <c r="F208" s="1232">
        <f t="shared" si="45"/>
        <v>13778</v>
      </c>
      <c r="G208" s="1232">
        <f t="shared" si="42"/>
        <v>0</v>
      </c>
      <c r="H208" s="1238"/>
      <c r="I208" s="1239"/>
      <c r="J208" s="1239"/>
      <c r="K208" s="1239"/>
      <c r="L208" s="1239"/>
      <c r="M208" s="1232">
        <f t="shared" si="43"/>
        <v>13778</v>
      </c>
      <c r="N208" s="1240"/>
      <c r="O208" s="1244"/>
      <c r="P208" s="1244"/>
      <c r="Q208" s="1244"/>
      <c r="R208" s="1267"/>
      <c r="S208" s="1244"/>
      <c r="T208" s="1244"/>
      <c r="U208" s="1244"/>
      <c r="V208" s="1254">
        <v>13778</v>
      </c>
      <c r="W208" s="1244"/>
      <c r="X208" s="1244"/>
      <c r="Y208" s="1240"/>
    </row>
    <row r="209" spans="1:25" ht="24">
      <c r="B209" s="1134"/>
      <c r="C209" s="1173" t="s">
        <v>34</v>
      </c>
      <c r="D209" s="1439">
        <v>18</v>
      </c>
      <c r="E209" s="1113" t="s">
        <v>112</v>
      </c>
      <c r="F209" s="1232">
        <f t="shared" si="45"/>
        <v>3340</v>
      </c>
      <c r="G209" s="1232">
        <f t="shared" si="42"/>
        <v>0</v>
      </c>
      <c r="H209" s="1238"/>
      <c r="I209" s="1239"/>
      <c r="J209" s="1239"/>
      <c r="K209" s="1239"/>
      <c r="L209" s="1239"/>
      <c r="M209" s="1232">
        <f t="shared" si="43"/>
        <v>3340</v>
      </c>
      <c r="N209" s="1238"/>
      <c r="O209" s="1244"/>
      <c r="P209" s="1254"/>
      <c r="Q209" s="1254"/>
      <c r="R209" s="1267"/>
      <c r="S209" s="1254">
        <v>3340</v>
      </c>
      <c r="T209" s="1244"/>
      <c r="U209" s="1254"/>
      <c r="V209" s="1254"/>
      <c r="W209" s="1254"/>
      <c r="X209" s="1254"/>
      <c r="Y209" s="1238"/>
    </row>
    <row r="210" spans="1:25">
      <c r="B210" s="1134"/>
      <c r="C210" s="1173" t="s">
        <v>34</v>
      </c>
      <c r="D210" s="1439">
        <v>19</v>
      </c>
      <c r="E210" s="1293" t="s">
        <v>495</v>
      </c>
      <c r="F210" s="1232">
        <f t="shared" si="45"/>
        <v>11286</v>
      </c>
      <c r="G210" s="1232">
        <f t="shared" si="42"/>
        <v>4550</v>
      </c>
      <c r="H210" s="1238">
        <v>4550</v>
      </c>
      <c r="I210" s="1239"/>
      <c r="J210" s="1239"/>
      <c r="K210" s="1239"/>
      <c r="L210" s="1239"/>
      <c r="M210" s="1232">
        <f t="shared" si="43"/>
        <v>6736</v>
      </c>
      <c r="N210" s="1238"/>
      <c r="O210" s="1238"/>
      <c r="P210" s="1238"/>
      <c r="Q210" s="1238"/>
      <c r="R210" s="1238">
        <v>6736</v>
      </c>
      <c r="S210" s="1238"/>
      <c r="T210" s="1238"/>
      <c r="U210" s="1238"/>
      <c r="V210" s="1238"/>
      <c r="W210" s="1238"/>
      <c r="X210" s="1238"/>
      <c r="Y210" s="1238"/>
    </row>
    <row r="211" spans="1:25">
      <c r="B211" s="1134"/>
      <c r="C211" s="1173" t="s">
        <v>34</v>
      </c>
      <c r="D211" s="1439">
        <v>21</v>
      </c>
      <c r="E211" s="1293" t="s">
        <v>497</v>
      </c>
      <c r="F211" s="1232">
        <f t="shared" si="45"/>
        <v>59600</v>
      </c>
      <c r="G211" s="1232">
        <f t="shared" si="42"/>
        <v>37200</v>
      </c>
      <c r="H211" s="1238">
        <v>37200</v>
      </c>
      <c r="I211" s="1239"/>
      <c r="J211" s="1239"/>
      <c r="K211" s="1239"/>
      <c r="L211" s="1239"/>
      <c r="M211" s="1232">
        <f t="shared" si="43"/>
        <v>22400</v>
      </c>
      <c r="N211" s="1238"/>
      <c r="O211" s="1238"/>
      <c r="P211" s="1238"/>
      <c r="Q211" s="1238"/>
      <c r="R211" s="1238"/>
      <c r="S211" s="1238"/>
      <c r="T211" s="1238"/>
      <c r="U211" s="1238"/>
      <c r="V211" s="1238"/>
      <c r="W211" s="1238"/>
      <c r="X211" s="1238">
        <v>22400</v>
      </c>
      <c r="Y211" s="1238"/>
    </row>
    <row r="212" spans="1:25">
      <c r="B212" s="1134"/>
      <c r="C212" s="1173" t="s">
        <v>34</v>
      </c>
      <c r="D212" s="1439">
        <v>22</v>
      </c>
      <c r="E212" s="1293" t="s">
        <v>1030</v>
      </c>
      <c r="F212" s="1232">
        <f t="shared" si="45"/>
        <v>120089</v>
      </c>
      <c r="G212" s="1232">
        <f t="shared" si="42"/>
        <v>81600</v>
      </c>
      <c r="H212" s="1238">
        <v>81600</v>
      </c>
      <c r="I212" s="1239"/>
      <c r="J212" s="1239"/>
      <c r="K212" s="1239"/>
      <c r="L212" s="1239"/>
      <c r="M212" s="1232">
        <f t="shared" si="43"/>
        <v>38489</v>
      </c>
      <c r="N212" s="1238"/>
      <c r="O212" s="1238">
        <v>4500</v>
      </c>
      <c r="P212" s="1238"/>
      <c r="Q212" s="1238"/>
      <c r="R212" s="1238"/>
      <c r="S212" s="1238">
        <f>4800+16640</f>
        <v>21440</v>
      </c>
      <c r="T212" s="1238"/>
      <c r="U212" s="1238"/>
      <c r="V212" s="1238">
        <v>4389</v>
      </c>
      <c r="W212" s="1238"/>
      <c r="X212" s="1238">
        <v>5760</v>
      </c>
      <c r="Y212" s="1238">
        <v>2400</v>
      </c>
    </row>
    <row r="213" spans="1:25" s="1075" customFormat="1" ht="36">
      <c r="A213" s="1075">
        <v>9</v>
      </c>
      <c r="B213" s="1171">
        <v>9</v>
      </c>
      <c r="C213" s="1172" t="s">
        <v>34</v>
      </c>
      <c r="D213" s="1438"/>
      <c r="E213" s="1286" t="s">
        <v>27</v>
      </c>
      <c r="F213" s="1232">
        <f t="shared" si="45"/>
        <v>1210007</v>
      </c>
      <c r="G213" s="1232">
        <f t="shared" si="42"/>
        <v>285000</v>
      </c>
      <c r="H213" s="1233">
        <f>H214+H225</f>
        <v>285000</v>
      </c>
      <c r="I213" s="1233">
        <f>I214+I225</f>
        <v>0</v>
      </c>
      <c r="J213" s="1233">
        <f>J214+J225</f>
        <v>0</v>
      </c>
      <c r="K213" s="1233">
        <f>K214+K225</f>
        <v>0</v>
      </c>
      <c r="L213" s="1233">
        <f>L214+L225</f>
        <v>0</v>
      </c>
      <c r="M213" s="1232">
        <f t="shared" si="43"/>
        <v>925007</v>
      </c>
      <c r="N213" s="1233">
        <f t="shared" ref="N213:Y213" si="46">N214+N225</f>
        <v>61700</v>
      </c>
      <c r="O213" s="1233">
        <f t="shared" si="46"/>
        <v>22000</v>
      </c>
      <c r="P213" s="1233">
        <f t="shared" si="46"/>
        <v>50200</v>
      </c>
      <c r="Q213" s="1233">
        <f t="shared" si="46"/>
        <v>20000</v>
      </c>
      <c r="R213" s="1233">
        <f t="shared" si="46"/>
        <v>55594</v>
      </c>
      <c r="S213" s="1233">
        <f t="shared" si="46"/>
        <v>71495</v>
      </c>
      <c r="T213" s="1233">
        <f t="shared" si="46"/>
        <v>164640</v>
      </c>
      <c r="U213" s="1233">
        <f t="shared" si="46"/>
        <v>136378</v>
      </c>
      <c r="V213" s="1233">
        <f t="shared" si="46"/>
        <v>142720</v>
      </c>
      <c r="W213" s="1233">
        <f t="shared" si="46"/>
        <v>84680</v>
      </c>
      <c r="X213" s="1233">
        <f t="shared" si="46"/>
        <v>76490</v>
      </c>
      <c r="Y213" s="1233">
        <f t="shared" si="46"/>
        <v>39110</v>
      </c>
    </row>
    <row r="214" spans="1:25" s="1175" customFormat="1" ht="24">
      <c r="A214" s="1175" t="s">
        <v>806</v>
      </c>
      <c r="B214" s="1176" t="s">
        <v>259</v>
      </c>
      <c r="C214" s="1172" t="s">
        <v>34</v>
      </c>
      <c r="D214" s="1438"/>
      <c r="E214" s="1177" t="s">
        <v>129</v>
      </c>
      <c r="F214" s="1232">
        <f t="shared" si="45"/>
        <v>988897</v>
      </c>
      <c r="G214" s="1232">
        <f t="shared" si="42"/>
        <v>146000</v>
      </c>
      <c r="H214" s="1267">
        <f>SUM(H215:H224)</f>
        <v>146000</v>
      </c>
      <c r="I214" s="1274">
        <f>SUM(I215:I224)</f>
        <v>0</v>
      </c>
      <c r="J214" s="1274">
        <f>SUM(J215:J224)</f>
        <v>0</v>
      </c>
      <c r="K214" s="1274">
        <f>SUM(K215:K224)</f>
        <v>0</v>
      </c>
      <c r="L214" s="1274">
        <f>SUM(L215:L224)</f>
        <v>0</v>
      </c>
      <c r="M214" s="1232">
        <f t="shared" si="43"/>
        <v>842897</v>
      </c>
      <c r="N214" s="1267">
        <f t="shared" ref="N214:Y214" si="47">SUM(N215:N224)</f>
        <v>51600</v>
      </c>
      <c r="O214" s="1267">
        <f t="shared" si="47"/>
        <v>19000</v>
      </c>
      <c r="P214" s="1267">
        <f t="shared" si="47"/>
        <v>47200</v>
      </c>
      <c r="Q214" s="1267">
        <f t="shared" si="47"/>
        <v>16500</v>
      </c>
      <c r="R214" s="1267">
        <f t="shared" si="47"/>
        <v>52094</v>
      </c>
      <c r="S214" s="1267">
        <f t="shared" si="47"/>
        <v>55865</v>
      </c>
      <c r="T214" s="1267">
        <f t="shared" si="47"/>
        <v>156340</v>
      </c>
      <c r="U214" s="1267">
        <f t="shared" si="47"/>
        <v>127178</v>
      </c>
      <c r="V214" s="1267">
        <f t="shared" si="47"/>
        <v>135960</v>
      </c>
      <c r="W214" s="1267">
        <f t="shared" si="47"/>
        <v>76960</v>
      </c>
      <c r="X214" s="1267">
        <f t="shared" si="47"/>
        <v>70990</v>
      </c>
      <c r="Y214" s="1267">
        <f t="shared" si="47"/>
        <v>33210</v>
      </c>
    </row>
    <row r="215" spans="1:25" s="1175" customFormat="1" ht="24">
      <c r="B215" s="1108"/>
      <c r="C215" s="1173" t="s">
        <v>34</v>
      </c>
      <c r="D215" s="1439">
        <v>1</v>
      </c>
      <c r="E215" s="1113" t="s">
        <v>113</v>
      </c>
      <c r="F215" s="1232">
        <f t="shared" si="45"/>
        <v>52178</v>
      </c>
      <c r="G215" s="1232">
        <f t="shared" si="42"/>
        <v>0</v>
      </c>
      <c r="H215" s="1244"/>
      <c r="I215" s="1239"/>
      <c r="J215" s="1239"/>
      <c r="K215" s="1239"/>
      <c r="L215" s="1239"/>
      <c r="M215" s="1232">
        <f t="shared" si="43"/>
        <v>52178</v>
      </c>
      <c r="N215" s="1240">
        <v>1400</v>
      </c>
      <c r="O215" s="1244">
        <v>8000</v>
      </c>
      <c r="P215" s="1244"/>
      <c r="Q215" s="1244"/>
      <c r="R215" s="1254"/>
      <c r="S215" s="1244">
        <v>10630</v>
      </c>
      <c r="T215" s="1244"/>
      <c r="U215" s="1244">
        <v>29648</v>
      </c>
      <c r="V215" s="1240"/>
      <c r="W215" s="1244"/>
      <c r="X215" s="1244">
        <v>2500</v>
      </c>
      <c r="Y215" s="1240"/>
    </row>
    <row r="216" spans="1:25" s="1175" customFormat="1" ht="24">
      <c r="B216" s="1108"/>
      <c r="C216" s="1173" t="s">
        <v>34</v>
      </c>
      <c r="D216" s="1439">
        <v>2</v>
      </c>
      <c r="E216" s="1113" t="s">
        <v>117</v>
      </c>
      <c r="F216" s="1232">
        <f t="shared" si="45"/>
        <v>216800</v>
      </c>
      <c r="G216" s="1232">
        <f t="shared" si="42"/>
        <v>0</v>
      </c>
      <c r="H216" s="1244"/>
      <c r="I216" s="1239"/>
      <c r="J216" s="1239"/>
      <c r="K216" s="1239"/>
      <c r="L216" s="1239"/>
      <c r="M216" s="1232">
        <f t="shared" si="43"/>
        <v>216800</v>
      </c>
      <c r="N216" s="1240">
        <v>14400</v>
      </c>
      <c r="O216" s="1244"/>
      <c r="P216" s="1244"/>
      <c r="Q216" s="1244">
        <v>9000</v>
      </c>
      <c r="R216" s="1244">
        <v>14400</v>
      </c>
      <c r="S216" s="1244"/>
      <c r="T216" s="1244"/>
      <c r="U216" s="1244">
        <v>27900</v>
      </c>
      <c r="V216" s="1240">
        <v>81200</v>
      </c>
      <c r="W216" s="1244">
        <v>45000</v>
      </c>
      <c r="X216" s="1244">
        <v>16800</v>
      </c>
      <c r="Y216" s="1240">
        <v>8100</v>
      </c>
    </row>
    <row r="217" spans="1:25" s="1175" customFormat="1" ht="60">
      <c r="B217" s="1108"/>
      <c r="C217" s="1173" t="s">
        <v>34</v>
      </c>
      <c r="D217" s="1439">
        <v>3</v>
      </c>
      <c r="E217" s="1113" t="s">
        <v>122</v>
      </c>
      <c r="F217" s="1232">
        <f t="shared" si="45"/>
        <v>17880</v>
      </c>
      <c r="G217" s="1232">
        <f t="shared" si="42"/>
        <v>0</v>
      </c>
      <c r="H217" s="1244"/>
      <c r="I217" s="1239"/>
      <c r="J217" s="1239"/>
      <c r="K217" s="1239"/>
      <c r="L217" s="1239"/>
      <c r="M217" s="1232">
        <f t="shared" si="43"/>
        <v>17880</v>
      </c>
      <c r="N217" s="1240">
        <v>0</v>
      </c>
      <c r="O217" s="1244"/>
      <c r="P217" s="1244"/>
      <c r="Q217" s="1244"/>
      <c r="R217" s="1254"/>
      <c r="S217" s="1244">
        <v>7200</v>
      </c>
      <c r="T217" s="1244"/>
      <c r="U217" s="1244">
        <v>5280</v>
      </c>
      <c r="V217" s="1240">
        <v>0</v>
      </c>
      <c r="W217" s="1244">
        <v>0</v>
      </c>
      <c r="X217" s="1244">
        <v>5400</v>
      </c>
      <c r="Y217" s="1240"/>
    </row>
    <row r="218" spans="1:25" s="1175" customFormat="1">
      <c r="B218" s="1108"/>
      <c r="C218" s="1173" t="s">
        <v>34</v>
      </c>
      <c r="D218" s="1439">
        <v>4</v>
      </c>
      <c r="E218" s="1288" t="s">
        <v>123</v>
      </c>
      <c r="F218" s="1232">
        <f t="shared" si="45"/>
        <v>116644</v>
      </c>
      <c r="G218" s="1232">
        <f t="shared" si="42"/>
        <v>20000</v>
      </c>
      <c r="H218" s="1244">
        <v>20000</v>
      </c>
      <c r="I218" s="1239"/>
      <c r="J218" s="1239"/>
      <c r="K218" s="1239"/>
      <c r="L218" s="1239"/>
      <c r="M218" s="1232">
        <f t="shared" si="43"/>
        <v>96644</v>
      </c>
      <c r="N218" s="1240">
        <v>3800</v>
      </c>
      <c r="O218" s="1244"/>
      <c r="P218" s="1244"/>
      <c r="Q218" s="1244"/>
      <c r="R218" s="1244">
        <v>32694</v>
      </c>
      <c r="S218" s="1244">
        <v>5900</v>
      </c>
      <c r="T218" s="1244">
        <v>30240</v>
      </c>
      <c r="U218" s="1244"/>
      <c r="V218" s="1240">
        <v>2760</v>
      </c>
      <c r="W218" s="1244">
        <v>5960</v>
      </c>
      <c r="X218" s="1244">
        <v>6690</v>
      </c>
      <c r="Y218" s="1240">
        <v>8600</v>
      </c>
    </row>
    <row r="219" spans="1:25" s="1175" customFormat="1">
      <c r="B219" s="1108"/>
      <c r="C219" s="1173" t="s">
        <v>34</v>
      </c>
      <c r="D219" s="1439">
        <v>5</v>
      </c>
      <c r="E219" s="1288" t="s">
        <v>124</v>
      </c>
      <c r="F219" s="1232">
        <f t="shared" si="45"/>
        <v>348910</v>
      </c>
      <c r="G219" s="1232">
        <f t="shared" si="42"/>
        <v>0</v>
      </c>
      <c r="H219" s="1244"/>
      <c r="I219" s="1239"/>
      <c r="J219" s="1239"/>
      <c r="K219" s="1239"/>
      <c r="L219" s="1239"/>
      <c r="M219" s="1232">
        <f t="shared" si="43"/>
        <v>348910</v>
      </c>
      <c r="N219" s="1240">
        <v>16000</v>
      </c>
      <c r="O219" s="1244">
        <v>11000</v>
      </c>
      <c r="P219" s="1244">
        <v>40000</v>
      </c>
      <c r="Q219" s="1244">
        <v>7500</v>
      </c>
      <c r="R219" s="1254"/>
      <c r="S219" s="1244">
        <v>30000</v>
      </c>
      <c r="T219" s="1244">
        <v>100000</v>
      </c>
      <c r="U219" s="1244">
        <v>56500</v>
      </c>
      <c r="V219" s="1240">
        <v>32000</v>
      </c>
      <c r="W219" s="1244">
        <v>16000</v>
      </c>
      <c r="X219" s="1244">
        <v>23400</v>
      </c>
      <c r="Y219" s="1240">
        <v>16510</v>
      </c>
    </row>
    <row r="220" spans="1:25" s="1175" customFormat="1" ht="48">
      <c r="B220" s="1108"/>
      <c r="C220" s="1173" t="s">
        <v>34</v>
      </c>
      <c r="D220" s="1439">
        <v>6</v>
      </c>
      <c r="E220" s="1113" t="s">
        <v>408</v>
      </c>
      <c r="F220" s="1232">
        <f t="shared" si="45"/>
        <v>106000</v>
      </c>
      <c r="G220" s="1232">
        <f t="shared" si="42"/>
        <v>106000</v>
      </c>
      <c r="H220" s="1244">
        <v>106000</v>
      </c>
      <c r="I220" s="1239"/>
      <c r="J220" s="1239"/>
      <c r="K220" s="1239"/>
      <c r="L220" s="1239"/>
      <c r="M220" s="1232">
        <f t="shared" si="43"/>
        <v>0</v>
      </c>
      <c r="N220" s="1240"/>
      <c r="O220" s="1244">
        <v>0</v>
      </c>
      <c r="P220" s="1244">
        <v>0</v>
      </c>
      <c r="Q220" s="1244">
        <v>0</v>
      </c>
      <c r="R220" s="1254">
        <v>0</v>
      </c>
      <c r="S220" s="1244">
        <v>0</v>
      </c>
      <c r="T220" s="1244">
        <v>0</v>
      </c>
      <c r="U220" s="1244">
        <v>0</v>
      </c>
      <c r="V220" s="1240">
        <v>0</v>
      </c>
      <c r="W220" s="1244">
        <v>0</v>
      </c>
      <c r="X220" s="1244">
        <v>0</v>
      </c>
      <c r="Y220" s="1240">
        <v>0</v>
      </c>
    </row>
    <row r="221" spans="1:25" s="1175" customFormat="1" ht="36">
      <c r="B221" s="1108"/>
      <c r="C221" s="1173" t="s">
        <v>34</v>
      </c>
      <c r="D221" s="1439">
        <v>7</v>
      </c>
      <c r="E221" s="1113" t="s">
        <v>409</v>
      </c>
      <c r="F221" s="1232">
        <f t="shared" si="45"/>
        <v>44300</v>
      </c>
      <c r="G221" s="1232">
        <f t="shared" si="42"/>
        <v>20000</v>
      </c>
      <c r="H221" s="1244">
        <v>20000</v>
      </c>
      <c r="I221" s="1239"/>
      <c r="J221" s="1239"/>
      <c r="K221" s="1239"/>
      <c r="L221" s="1239"/>
      <c r="M221" s="1232">
        <f t="shared" si="43"/>
        <v>24300</v>
      </c>
      <c r="N221" s="1240">
        <v>0</v>
      </c>
      <c r="O221" s="1244"/>
      <c r="P221" s="1244">
        <v>7200</v>
      </c>
      <c r="Q221" s="1244"/>
      <c r="R221" s="1254"/>
      <c r="S221" s="1244"/>
      <c r="T221" s="1244">
        <v>17100</v>
      </c>
      <c r="U221" s="1244"/>
      <c r="V221" s="1240">
        <v>0</v>
      </c>
      <c r="W221" s="1244">
        <v>0</v>
      </c>
      <c r="X221" s="1245"/>
      <c r="Y221" s="1240"/>
    </row>
    <row r="222" spans="1:25" s="1175" customFormat="1" ht="24">
      <c r="B222" s="1108"/>
      <c r="C222" s="1173" t="s">
        <v>34</v>
      </c>
      <c r="D222" s="1439">
        <v>8</v>
      </c>
      <c r="E222" s="1112" t="s">
        <v>215</v>
      </c>
      <c r="F222" s="1232">
        <f t="shared" si="45"/>
        <v>81485</v>
      </c>
      <c r="G222" s="1232">
        <f t="shared" si="42"/>
        <v>0</v>
      </c>
      <c r="H222" s="1244"/>
      <c r="I222" s="1239"/>
      <c r="J222" s="1239"/>
      <c r="K222" s="1239"/>
      <c r="L222" s="1239"/>
      <c r="M222" s="1232">
        <f t="shared" si="43"/>
        <v>81485</v>
      </c>
      <c r="N222" s="1240">
        <v>16000</v>
      </c>
      <c r="O222" s="1244"/>
      <c r="P222" s="1244"/>
      <c r="Q222" s="1244"/>
      <c r="R222" s="1244">
        <v>5000</v>
      </c>
      <c r="S222" s="1244">
        <v>2135</v>
      </c>
      <c r="T222" s="1244">
        <v>9000</v>
      </c>
      <c r="U222" s="1244">
        <v>7850</v>
      </c>
      <c r="V222" s="1240">
        <v>20000</v>
      </c>
      <c r="W222" s="1244">
        <v>10000</v>
      </c>
      <c r="X222" s="1244">
        <v>11500</v>
      </c>
      <c r="Y222" s="1240"/>
    </row>
    <row r="223" spans="1:25" s="1175" customFormat="1">
      <c r="B223" s="1108"/>
      <c r="C223" s="1173" t="s">
        <v>34</v>
      </c>
      <c r="D223" s="1439">
        <v>9</v>
      </c>
      <c r="E223" s="1087" t="s">
        <v>292</v>
      </c>
      <c r="F223" s="1232">
        <f t="shared" si="45"/>
        <v>4000</v>
      </c>
      <c r="G223" s="1232">
        <f t="shared" si="42"/>
        <v>0</v>
      </c>
      <c r="H223" s="1244"/>
      <c r="I223" s="1239"/>
      <c r="J223" s="1239"/>
      <c r="K223" s="1239"/>
      <c r="L223" s="1239"/>
      <c r="M223" s="1232">
        <f t="shared" si="43"/>
        <v>4000</v>
      </c>
      <c r="N223" s="1240"/>
      <c r="O223" s="1244"/>
      <c r="P223" s="1244"/>
      <c r="Q223" s="1244"/>
      <c r="R223" s="1244"/>
      <c r="S223" s="1244"/>
      <c r="T223" s="1244"/>
      <c r="U223" s="1244"/>
      <c r="V223" s="1240">
        <v>0</v>
      </c>
      <c r="W223" s="1244"/>
      <c r="X223" s="1244">
        <v>4000</v>
      </c>
      <c r="Y223" s="1240"/>
    </row>
    <row r="224" spans="1:25" s="1175" customFormat="1">
      <c r="B224" s="1108"/>
      <c r="C224" s="1173" t="s">
        <v>34</v>
      </c>
      <c r="D224" s="1439">
        <v>10</v>
      </c>
      <c r="E224" s="1087" t="s">
        <v>291</v>
      </c>
      <c r="F224" s="1232">
        <f t="shared" si="45"/>
        <v>700</v>
      </c>
      <c r="G224" s="1232">
        <f t="shared" si="42"/>
        <v>0</v>
      </c>
      <c r="H224" s="1244"/>
      <c r="I224" s="1239"/>
      <c r="J224" s="1239"/>
      <c r="K224" s="1239"/>
      <c r="L224" s="1239"/>
      <c r="M224" s="1232">
        <f t="shared" si="43"/>
        <v>700</v>
      </c>
      <c r="N224" s="1240"/>
      <c r="O224" s="1244"/>
      <c r="P224" s="1244"/>
      <c r="Q224" s="1244"/>
      <c r="R224" s="1244"/>
      <c r="S224" s="1244"/>
      <c r="T224" s="1244"/>
      <c r="U224" s="1244"/>
      <c r="V224" s="1240">
        <v>0</v>
      </c>
      <c r="W224" s="1244"/>
      <c r="X224" s="1244">
        <v>700</v>
      </c>
      <c r="Y224" s="1240"/>
    </row>
    <row r="225" spans="1:25" s="1175" customFormat="1" ht="24">
      <c r="A225" s="1175" t="s">
        <v>807</v>
      </c>
      <c r="B225" s="1179" t="s">
        <v>260</v>
      </c>
      <c r="C225" s="1172" t="s">
        <v>34</v>
      </c>
      <c r="D225" s="1438"/>
      <c r="E225" s="1180" t="s">
        <v>130</v>
      </c>
      <c r="F225" s="1232">
        <f t="shared" si="45"/>
        <v>221110</v>
      </c>
      <c r="G225" s="1232">
        <f t="shared" si="42"/>
        <v>139000</v>
      </c>
      <c r="H225" s="1275">
        <f>SUM(H226:H228)</f>
        <v>139000</v>
      </c>
      <c r="I225" s="1276">
        <f>SUM(I226:I228)</f>
        <v>0</v>
      </c>
      <c r="J225" s="1276">
        <f>SUM(J226:J228)</f>
        <v>0</v>
      </c>
      <c r="K225" s="1276">
        <f>SUM(K226:K228)</f>
        <v>0</v>
      </c>
      <c r="L225" s="1276">
        <f>SUM(L226:L228)</f>
        <v>0</v>
      </c>
      <c r="M225" s="1232">
        <f t="shared" si="43"/>
        <v>82110</v>
      </c>
      <c r="N225" s="1275">
        <f t="shared" ref="N225:Y225" si="48">SUM(N226:N228)</f>
        <v>10100</v>
      </c>
      <c r="O225" s="1275">
        <f t="shared" si="48"/>
        <v>3000</v>
      </c>
      <c r="P225" s="1275">
        <f t="shared" si="48"/>
        <v>3000</v>
      </c>
      <c r="Q225" s="1275">
        <f t="shared" si="48"/>
        <v>3500</v>
      </c>
      <c r="R225" s="1275">
        <f t="shared" si="48"/>
        <v>3500</v>
      </c>
      <c r="S225" s="1275">
        <f t="shared" si="48"/>
        <v>15630</v>
      </c>
      <c r="T225" s="1275">
        <f t="shared" si="48"/>
        <v>8300</v>
      </c>
      <c r="U225" s="1275">
        <f t="shared" si="48"/>
        <v>9200</v>
      </c>
      <c r="V225" s="1275">
        <f t="shared" si="48"/>
        <v>6760</v>
      </c>
      <c r="W225" s="1275">
        <f t="shared" si="48"/>
        <v>7720</v>
      </c>
      <c r="X225" s="1275">
        <f t="shared" si="48"/>
        <v>5500</v>
      </c>
      <c r="Y225" s="1275">
        <f t="shared" si="48"/>
        <v>5900</v>
      </c>
    </row>
    <row r="226" spans="1:25" s="1175" customFormat="1" ht="36">
      <c r="B226" s="1108"/>
      <c r="C226" s="1173" t="s">
        <v>34</v>
      </c>
      <c r="D226" s="1439">
        <v>1</v>
      </c>
      <c r="E226" s="1181" t="s">
        <v>125</v>
      </c>
      <c r="F226" s="1232">
        <f t="shared" si="45"/>
        <v>119000</v>
      </c>
      <c r="G226" s="1232">
        <f t="shared" si="42"/>
        <v>119000</v>
      </c>
      <c r="H226" s="1244">
        <v>119000</v>
      </c>
      <c r="I226" s="1239"/>
      <c r="J226" s="1239"/>
      <c r="K226" s="1239"/>
      <c r="L226" s="1239"/>
      <c r="M226" s="1232">
        <f t="shared" si="43"/>
        <v>0</v>
      </c>
      <c r="N226" s="1240"/>
      <c r="O226" s="1244"/>
      <c r="P226" s="1238"/>
      <c r="Q226" s="1244"/>
      <c r="R226" s="1254"/>
      <c r="S226" s="1244"/>
      <c r="T226" s="1244"/>
      <c r="U226" s="1244"/>
      <c r="V226" s="1240"/>
      <c r="W226" s="1244"/>
      <c r="X226" s="1244"/>
      <c r="Y226" s="1240"/>
    </row>
    <row r="227" spans="1:25" s="1175" customFormat="1" ht="24">
      <c r="B227" s="1108"/>
      <c r="C227" s="1173" t="s">
        <v>34</v>
      </c>
      <c r="D227" s="1439">
        <v>2</v>
      </c>
      <c r="E227" s="1295" t="s">
        <v>128</v>
      </c>
      <c r="F227" s="1232">
        <f t="shared" si="45"/>
        <v>39610</v>
      </c>
      <c r="G227" s="1232">
        <f t="shared" si="42"/>
        <v>0</v>
      </c>
      <c r="H227" s="1244"/>
      <c r="I227" s="1239"/>
      <c r="J227" s="1239"/>
      <c r="K227" s="1239"/>
      <c r="L227" s="1239"/>
      <c r="M227" s="1232">
        <f t="shared" si="43"/>
        <v>39610</v>
      </c>
      <c r="N227" s="1240">
        <v>6100</v>
      </c>
      <c r="O227" s="1244"/>
      <c r="P227" s="1238"/>
      <c r="Q227" s="1244"/>
      <c r="R227" s="1254"/>
      <c r="S227" s="1244">
        <v>10630</v>
      </c>
      <c r="T227" s="1244">
        <v>4800</v>
      </c>
      <c r="U227" s="1244">
        <v>5200</v>
      </c>
      <c r="V227" s="1240">
        <v>2760</v>
      </c>
      <c r="W227" s="1244">
        <v>4720</v>
      </c>
      <c r="X227" s="1244">
        <v>2500</v>
      </c>
      <c r="Y227" s="1240">
        <v>2900</v>
      </c>
    </row>
    <row r="228" spans="1:25" s="1175" customFormat="1" ht="24">
      <c r="B228" s="1108"/>
      <c r="C228" s="1173" t="s">
        <v>34</v>
      </c>
      <c r="D228" s="1439">
        <v>3</v>
      </c>
      <c r="E228" s="1087" t="s">
        <v>412</v>
      </c>
      <c r="F228" s="1232">
        <f t="shared" si="45"/>
        <v>62500</v>
      </c>
      <c r="G228" s="1232">
        <f t="shared" si="42"/>
        <v>20000</v>
      </c>
      <c r="H228" s="1244">
        <v>20000</v>
      </c>
      <c r="I228" s="1239"/>
      <c r="J228" s="1239"/>
      <c r="K228" s="1239"/>
      <c r="L228" s="1239"/>
      <c r="M228" s="1232">
        <f t="shared" si="43"/>
        <v>42500</v>
      </c>
      <c r="N228" s="1240">
        <v>4000</v>
      </c>
      <c r="O228" s="1244">
        <v>3000</v>
      </c>
      <c r="P228" s="1238">
        <v>3000</v>
      </c>
      <c r="Q228" s="1244">
        <v>3500</v>
      </c>
      <c r="R228" s="1254">
        <v>3500</v>
      </c>
      <c r="S228" s="1244">
        <v>5000</v>
      </c>
      <c r="T228" s="1244">
        <v>3500</v>
      </c>
      <c r="U228" s="1244">
        <v>4000</v>
      </c>
      <c r="V228" s="1240">
        <v>4000</v>
      </c>
      <c r="W228" s="1244">
        <v>3000</v>
      </c>
      <c r="X228" s="1244">
        <v>3000</v>
      </c>
      <c r="Y228" s="1240">
        <v>3000</v>
      </c>
    </row>
    <row r="229" spans="1:25" s="1075" customFormat="1" ht="24">
      <c r="A229" s="1075">
        <v>10</v>
      </c>
      <c r="B229" s="1093">
        <v>10</v>
      </c>
      <c r="C229" s="1172" t="s">
        <v>34</v>
      </c>
      <c r="D229" s="1438"/>
      <c r="E229" s="1286" t="s">
        <v>238</v>
      </c>
      <c r="F229" s="1232">
        <f t="shared" si="45"/>
        <v>2294947</v>
      </c>
      <c r="G229" s="1232">
        <f t="shared" si="42"/>
        <v>1677860</v>
      </c>
      <c r="H229" s="1233">
        <f t="shared" ref="H229:Y229" si="49">H230+H233+H241</f>
        <v>320000</v>
      </c>
      <c r="I229" s="1233">
        <f t="shared" si="49"/>
        <v>1357860</v>
      </c>
      <c r="J229" s="1233">
        <f t="shared" si="49"/>
        <v>0</v>
      </c>
      <c r="K229" s="1233">
        <f t="shared" si="49"/>
        <v>0</v>
      </c>
      <c r="L229" s="1233">
        <f t="shared" si="49"/>
        <v>0</v>
      </c>
      <c r="M229" s="1233">
        <f t="shared" si="49"/>
        <v>617087</v>
      </c>
      <c r="N229" s="1233">
        <f t="shared" si="49"/>
        <v>123400</v>
      </c>
      <c r="O229" s="1233">
        <f t="shared" si="49"/>
        <v>90000</v>
      </c>
      <c r="P229" s="1233">
        <f t="shared" si="49"/>
        <v>8700</v>
      </c>
      <c r="Q229" s="1233">
        <f t="shared" si="49"/>
        <v>24220</v>
      </c>
      <c r="R229" s="1233">
        <f t="shared" si="49"/>
        <v>55180</v>
      </c>
      <c r="S229" s="1233">
        <f t="shared" si="49"/>
        <v>42000</v>
      </c>
      <c r="T229" s="1233">
        <f t="shared" si="49"/>
        <v>4547</v>
      </c>
      <c r="U229" s="1233">
        <f t="shared" si="49"/>
        <v>32440</v>
      </c>
      <c r="V229" s="1233">
        <f t="shared" si="49"/>
        <v>41826</v>
      </c>
      <c r="W229" s="1233">
        <f t="shared" si="49"/>
        <v>34010</v>
      </c>
      <c r="X229" s="1233">
        <f t="shared" si="49"/>
        <v>85764</v>
      </c>
      <c r="Y229" s="1233">
        <f t="shared" si="49"/>
        <v>75000</v>
      </c>
    </row>
    <row r="230" spans="1:25" s="1078" customFormat="1" ht="36">
      <c r="A230" s="1078" t="s">
        <v>806</v>
      </c>
      <c r="B230" s="1094" t="s">
        <v>583</v>
      </c>
      <c r="C230" s="1173" t="s">
        <v>34</v>
      </c>
      <c r="D230" s="1439"/>
      <c r="E230" s="1081" t="s">
        <v>28</v>
      </c>
      <c r="F230" s="1232">
        <f t="shared" si="45"/>
        <v>20000</v>
      </c>
      <c r="G230" s="1232">
        <f t="shared" si="42"/>
        <v>20000</v>
      </c>
      <c r="H230" s="1236">
        <f>SUM(H231:H232)</f>
        <v>20000</v>
      </c>
      <c r="I230" s="1237">
        <f>SUM(I231:I232)</f>
        <v>0</v>
      </c>
      <c r="J230" s="1237">
        <f>SUM(J231:J232)</f>
        <v>0</v>
      </c>
      <c r="K230" s="1237">
        <f>SUM(K231:K232)</f>
        <v>0</v>
      </c>
      <c r="L230" s="1237">
        <f>SUM(L231:L232)</f>
        <v>0</v>
      </c>
      <c r="M230" s="1232">
        <f t="shared" si="43"/>
        <v>0</v>
      </c>
      <c r="N230" s="1236">
        <f t="shared" ref="N230:Y230" si="50">SUM(N231:N232)</f>
        <v>0</v>
      </c>
      <c r="O230" s="1236">
        <f t="shared" si="50"/>
        <v>0</v>
      </c>
      <c r="P230" s="1236">
        <f t="shared" si="50"/>
        <v>0</v>
      </c>
      <c r="Q230" s="1236">
        <f t="shared" si="50"/>
        <v>0</v>
      </c>
      <c r="R230" s="1236">
        <f t="shared" si="50"/>
        <v>0</v>
      </c>
      <c r="S230" s="1236">
        <f t="shared" si="50"/>
        <v>0</v>
      </c>
      <c r="T230" s="1236">
        <f t="shared" si="50"/>
        <v>0</v>
      </c>
      <c r="U230" s="1236">
        <f t="shared" si="50"/>
        <v>0</v>
      </c>
      <c r="V230" s="1236">
        <f t="shared" si="50"/>
        <v>0</v>
      </c>
      <c r="W230" s="1236">
        <f t="shared" si="50"/>
        <v>0</v>
      </c>
      <c r="X230" s="1236">
        <f t="shared" si="50"/>
        <v>0</v>
      </c>
      <c r="Y230" s="1236">
        <f t="shared" si="50"/>
        <v>0</v>
      </c>
    </row>
    <row r="231" spans="1:25" s="1088" customFormat="1" ht="36">
      <c r="B231" s="1183"/>
      <c r="C231" s="1184" t="s">
        <v>34</v>
      </c>
      <c r="D231" s="1440">
        <v>1</v>
      </c>
      <c r="E231" s="1185" t="s">
        <v>330</v>
      </c>
      <c r="F231" s="1263">
        <f t="shared" si="45"/>
        <v>10000</v>
      </c>
      <c r="G231" s="1263">
        <f t="shared" si="42"/>
        <v>10000</v>
      </c>
      <c r="H231" s="1247">
        <v>10000</v>
      </c>
      <c r="I231" s="1241"/>
      <c r="J231" s="1239"/>
      <c r="K231" s="1239"/>
      <c r="L231" s="1239"/>
      <c r="M231" s="1263">
        <f t="shared" si="43"/>
        <v>0</v>
      </c>
      <c r="N231" s="1240"/>
      <c r="O231" s="1240"/>
      <c r="P231" s="1240"/>
      <c r="Q231" s="1240"/>
      <c r="R231" s="1238"/>
      <c r="S231" s="1238"/>
      <c r="T231" s="1240"/>
      <c r="U231" s="1240"/>
      <c r="V231" s="1238"/>
      <c r="W231" s="1240"/>
      <c r="X231" s="1240"/>
      <c r="Y231" s="1240"/>
    </row>
    <row r="232" spans="1:25" s="1088" customFormat="1" ht="72">
      <c r="B232" s="1183"/>
      <c r="C232" s="1184" t="s">
        <v>34</v>
      </c>
      <c r="D232" s="1440">
        <v>2</v>
      </c>
      <c r="E232" s="1185" t="s">
        <v>333</v>
      </c>
      <c r="F232" s="1263">
        <f t="shared" si="45"/>
        <v>10000</v>
      </c>
      <c r="G232" s="1263">
        <f t="shared" si="42"/>
        <v>10000</v>
      </c>
      <c r="H232" s="1247">
        <v>10000</v>
      </c>
      <c r="I232" s="1241"/>
      <c r="J232" s="1239"/>
      <c r="K232" s="1239"/>
      <c r="L232" s="1239"/>
      <c r="M232" s="1263">
        <f t="shared" si="43"/>
        <v>0</v>
      </c>
      <c r="N232" s="1240"/>
      <c r="O232" s="1240"/>
      <c r="P232" s="1238"/>
      <c r="Q232" s="1240"/>
      <c r="R232" s="1238"/>
      <c r="S232" s="1238"/>
      <c r="T232" s="1238"/>
      <c r="U232" s="1240"/>
      <c r="V232" s="1238"/>
      <c r="W232" s="1240"/>
      <c r="X232" s="1240"/>
      <c r="Y232" s="1240"/>
    </row>
    <row r="233" spans="1:25" s="1078" customFormat="1" ht="36">
      <c r="A233" s="1078" t="s">
        <v>807</v>
      </c>
      <c r="B233" s="1187" t="s">
        <v>584</v>
      </c>
      <c r="C233" s="1188" t="s">
        <v>1</v>
      </c>
      <c r="D233" s="1441"/>
      <c r="E233" s="1081" t="s">
        <v>28</v>
      </c>
      <c r="F233" s="1235">
        <f t="shared" ref="F233:F275" si="51">G233+M233</f>
        <v>1974947</v>
      </c>
      <c r="G233" s="1235">
        <f t="shared" ref="G233:G275" si="52">SUM(H233:L233)</f>
        <v>1357860</v>
      </c>
      <c r="H233" s="1236">
        <f>SUM(H234:H240)</f>
        <v>0</v>
      </c>
      <c r="I233" s="1237">
        <f>SUM(I234:I240)</f>
        <v>1357860</v>
      </c>
      <c r="J233" s="1237">
        <f>SUM(J234:J240)</f>
        <v>0</v>
      </c>
      <c r="K233" s="1237">
        <f>SUM(K234:K240)</f>
        <v>0</v>
      </c>
      <c r="L233" s="1237">
        <f>SUM(L234:L240)</f>
        <v>0</v>
      </c>
      <c r="M233" s="1235">
        <f t="shared" ref="M233:M275" si="53">SUM(N233:Y233)</f>
        <v>617087</v>
      </c>
      <c r="N233" s="1236">
        <f t="shared" ref="N233:Y233" si="54">SUM(N234:N240)</f>
        <v>123400</v>
      </c>
      <c r="O233" s="1236">
        <f t="shared" si="54"/>
        <v>90000</v>
      </c>
      <c r="P233" s="1236">
        <f t="shared" si="54"/>
        <v>8700</v>
      </c>
      <c r="Q233" s="1236">
        <f t="shared" si="54"/>
        <v>24220</v>
      </c>
      <c r="R233" s="1236">
        <f t="shared" si="54"/>
        <v>55180</v>
      </c>
      <c r="S233" s="1236">
        <f t="shared" si="54"/>
        <v>42000</v>
      </c>
      <c r="T233" s="1236">
        <f t="shared" si="54"/>
        <v>4547</v>
      </c>
      <c r="U233" s="1236">
        <f t="shared" si="54"/>
        <v>32440</v>
      </c>
      <c r="V233" s="1236">
        <f t="shared" si="54"/>
        <v>41826</v>
      </c>
      <c r="W233" s="1236">
        <f t="shared" si="54"/>
        <v>34010</v>
      </c>
      <c r="X233" s="1236">
        <f t="shared" si="54"/>
        <v>85764</v>
      </c>
      <c r="Y233" s="1236">
        <f t="shared" si="54"/>
        <v>75000</v>
      </c>
    </row>
    <row r="234" spans="1:25" s="1088" customFormat="1" ht="24">
      <c r="B234" s="1184"/>
      <c r="C234" s="1173" t="s">
        <v>1</v>
      </c>
      <c r="D234" s="1439">
        <v>1</v>
      </c>
      <c r="E234" s="1086" t="s">
        <v>549</v>
      </c>
      <c r="F234" s="1232">
        <f t="shared" si="51"/>
        <v>67940</v>
      </c>
      <c r="G234" s="1232">
        <f t="shared" si="52"/>
        <v>19500</v>
      </c>
      <c r="H234" s="1247"/>
      <c r="I234" s="1239">
        <v>19500</v>
      </c>
      <c r="J234" s="1239"/>
      <c r="K234" s="1239"/>
      <c r="L234" s="1239"/>
      <c r="M234" s="1232">
        <f t="shared" si="53"/>
        <v>48440</v>
      </c>
      <c r="N234" s="1238"/>
      <c r="O234" s="1238">
        <v>10000</v>
      </c>
      <c r="P234" s="1238"/>
      <c r="Q234" s="1238"/>
      <c r="R234" s="1238"/>
      <c r="S234" s="1238">
        <v>12000</v>
      </c>
      <c r="T234" s="1238">
        <v>960</v>
      </c>
      <c r="U234" s="1238"/>
      <c r="V234" s="1238"/>
      <c r="W234" s="1238"/>
      <c r="X234" s="1238">
        <v>5480</v>
      </c>
      <c r="Y234" s="1238">
        <v>20000</v>
      </c>
    </row>
    <row r="235" spans="1:25" s="1088" customFormat="1" ht="48">
      <c r="B235" s="1184"/>
      <c r="C235" s="1173" t="s">
        <v>1</v>
      </c>
      <c r="D235" s="1439">
        <v>2</v>
      </c>
      <c r="E235" s="1085" t="s">
        <v>550</v>
      </c>
      <c r="F235" s="1232">
        <f t="shared" si="51"/>
        <v>126780</v>
      </c>
      <c r="G235" s="1232">
        <f t="shared" si="52"/>
        <v>60800</v>
      </c>
      <c r="H235" s="1247"/>
      <c r="I235" s="1239">
        <v>60800</v>
      </c>
      <c r="J235" s="1239"/>
      <c r="K235" s="1239"/>
      <c r="L235" s="1239"/>
      <c r="M235" s="1232">
        <f t="shared" si="53"/>
        <v>65980</v>
      </c>
      <c r="N235" s="1238">
        <v>20000</v>
      </c>
      <c r="O235" s="1238">
        <v>10000</v>
      </c>
      <c r="P235" s="1238">
        <v>2600</v>
      </c>
      <c r="Q235" s="1238"/>
      <c r="R235" s="1238">
        <v>7000</v>
      </c>
      <c r="S235" s="1238"/>
      <c r="T235" s="1238"/>
      <c r="U235" s="1238">
        <v>13700</v>
      </c>
      <c r="V235" s="1238"/>
      <c r="W235" s="1238"/>
      <c r="X235" s="1238">
        <v>7680</v>
      </c>
      <c r="Y235" s="1238">
        <v>5000</v>
      </c>
    </row>
    <row r="236" spans="1:25" s="1088" customFormat="1" ht="72">
      <c r="B236" s="1184"/>
      <c r="C236" s="1173" t="s">
        <v>1</v>
      </c>
      <c r="D236" s="1439">
        <v>3</v>
      </c>
      <c r="E236" s="1296" t="s">
        <v>551</v>
      </c>
      <c r="F236" s="1232">
        <f t="shared" si="51"/>
        <v>215880</v>
      </c>
      <c r="G236" s="1232">
        <f t="shared" si="52"/>
        <v>132560</v>
      </c>
      <c r="H236" s="1247"/>
      <c r="I236" s="1239">
        <v>132560</v>
      </c>
      <c r="J236" s="1239"/>
      <c r="K236" s="1239"/>
      <c r="L236" s="1239"/>
      <c r="M236" s="1232">
        <f t="shared" si="53"/>
        <v>83320</v>
      </c>
      <c r="N236" s="1240"/>
      <c r="O236" s="1244">
        <v>20000</v>
      </c>
      <c r="P236" s="1238"/>
      <c r="Q236" s="1244"/>
      <c r="R236" s="1254">
        <v>30880</v>
      </c>
      <c r="S236" s="1238"/>
      <c r="T236" s="1238"/>
      <c r="U236" s="1244"/>
      <c r="V236" s="1238"/>
      <c r="W236" s="1244"/>
      <c r="X236" s="1244">
        <v>22440</v>
      </c>
      <c r="Y236" s="1240">
        <v>10000</v>
      </c>
    </row>
    <row r="237" spans="1:25" s="1088" customFormat="1" ht="24">
      <c r="B237" s="1184"/>
      <c r="C237" s="1173" t="s">
        <v>1</v>
      </c>
      <c r="D237" s="1439">
        <v>4</v>
      </c>
      <c r="E237" s="1085" t="s">
        <v>552</v>
      </c>
      <c r="F237" s="1232">
        <f t="shared" si="51"/>
        <v>225000</v>
      </c>
      <c r="G237" s="1232">
        <f t="shared" si="52"/>
        <v>200000</v>
      </c>
      <c r="H237" s="1247"/>
      <c r="I237" s="1239">
        <v>200000</v>
      </c>
      <c r="J237" s="1239"/>
      <c r="K237" s="1239"/>
      <c r="L237" s="1239"/>
      <c r="M237" s="1232">
        <f t="shared" si="53"/>
        <v>25000</v>
      </c>
      <c r="N237" s="1238"/>
      <c r="O237" s="1238">
        <v>15000</v>
      </c>
      <c r="P237" s="1238"/>
      <c r="Q237" s="1238"/>
      <c r="R237" s="1238">
        <v>10000</v>
      </c>
      <c r="S237" s="1238"/>
      <c r="T237" s="1238"/>
      <c r="U237" s="1238"/>
      <c r="V237" s="1238"/>
      <c r="W237" s="1238"/>
      <c r="X237" s="1238"/>
      <c r="Y237" s="1238"/>
    </row>
    <row r="238" spans="1:25" s="1088" customFormat="1" ht="24">
      <c r="B238" s="1184"/>
      <c r="C238" s="1173" t="s">
        <v>1</v>
      </c>
      <c r="D238" s="1439">
        <v>5</v>
      </c>
      <c r="E238" s="1190" t="s">
        <v>553</v>
      </c>
      <c r="F238" s="1232">
        <f t="shared" si="51"/>
        <v>962257</v>
      </c>
      <c r="G238" s="1232">
        <f t="shared" si="52"/>
        <v>655000</v>
      </c>
      <c r="H238" s="1247"/>
      <c r="I238" s="1239">
        <v>655000</v>
      </c>
      <c r="J238" s="1239"/>
      <c r="K238" s="1239"/>
      <c r="L238" s="1239"/>
      <c r="M238" s="1232">
        <f t="shared" si="53"/>
        <v>307257</v>
      </c>
      <c r="N238" s="1240">
        <v>103400</v>
      </c>
      <c r="O238" s="1244">
        <v>15000</v>
      </c>
      <c r="P238" s="1238">
        <v>6100</v>
      </c>
      <c r="Q238" s="1244">
        <v>24220</v>
      </c>
      <c r="R238" s="1254">
        <v>7300</v>
      </c>
      <c r="S238" s="1238">
        <v>30000</v>
      </c>
      <c r="T238" s="1238">
        <v>3587</v>
      </c>
      <c r="U238" s="1244">
        <v>8740</v>
      </c>
      <c r="V238" s="1238">
        <v>9500</v>
      </c>
      <c r="W238" s="1244">
        <v>28010</v>
      </c>
      <c r="X238" s="1244">
        <v>46400</v>
      </c>
      <c r="Y238" s="1240">
        <v>25000</v>
      </c>
    </row>
    <row r="239" spans="1:25" s="1088" customFormat="1" ht="24">
      <c r="B239" s="1184"/>
      <c r="C239" s="1173" t="s">
        <v>1</v>
      </c>
      <c r="D239" s="1439">
        <v>6</v>
      </c>
      <c r="E239" s="1163" t="s">
        <v>555</v>
      </c>
      <c r="F239" s="1232">
        <f t="shared" si="51"/>
        <v>278890</v>
      </c>
      <c r="G239" s="1232">
        <f t="shared" si="52"/>
        <v>200000</v>
      </c>
      <c r="H239" s="1247"/>
      <c r="I239" s="1239">
        <v>200000</v>
      </c>
      <c r="J239" s="1239"/>
      <c r="K239" s="1239"/>
      <c r="L239" s="1239"/>
      <c r="M239" s="1232">
        <f t="shared" si="53"/>
        <v>78890</v>
      </c>
      <c r="N239" s="1240"/>
      <c r="O239" s="1244">
        <v>20000</v>
      </c>
      <c r="P239" s="1238"/>
      <c r="Q239" s="1244"/>
      <c r="R239" s="1254"/>
      <c r="S239" s="1244"/>
      <c r="T239" s="1238"/>
      <c r="U239" s="1244">
        <v>10000</v>
      </c>
      <c r="V239" s="1238">
        <v>32326</v>
      </c>
      <c r="W239" s="1244">
        <v>6000</v>
      </c>
      <c r="X239" s="1244">
        <v>564</v>
      </c>
      <c r="Y239" s="1240">
        <v>10000</v>
      </c>
    </row>
    <row r="240" spans="1:25" s="1088" customFormat="1" ht="24">
      <c r="B240" s="1184"/>
      <c r="C240" s="1173" t="s">
        <v>1</v>
      </c>
      <c r="D240" s="1439">
        <v>7</v>
      </c>
      <c r="E240" s="1087" t="s">
        <v>556</v>
      </c>
      <c r="F240" s="1232">
        <f t="shared" si="51"/>
        <v>98200</v>
      </c>
      <c r="G240" s="1232">
        <f t="shared" si="52"/>
        <v>90000</v>
      </c>
      <c r="H240" s="1247"/>
      <c r="I240" s="1239">
        <v>90000</v>
      </c>
      <c r="J240" s="1239"/>
      <c r="K240" s="1239"/>
      <c r="L240" s="1239"/>
      <c r="M240" s="1232">
        <f t="shared" si="53"/>
        <v>8200</v>
      </c>
      <c r="N240" s="1240"/>
      <c r="O240" s="1244"/>
      <c r="P240" s="1238"/>
      <c r="Q240" s="1244"/>
      <c r="R240" s="1254"/>
      <c r="S240" s="1238"/>
      <c r="T240" s="1238"/>
      <c r="U240" s="1244"/>
      <c r="V240" s="1238"/>
      <c r="W240" s="1244"/>
      <c r="X240" s="1244">
        <v>3200</v>
      </c>
      <c r="Y240" s="1240">
        <v>5000</v>
      </c>
    </row>
    <row r="241" spans="1:25" s="1078" customFormat="1" ht="36">
      <c r="A241" s="1078" t="s">
        <v>807</v>
      </c>
      <c r="B241" s="1094" t="s">
        <v>255</v>
      </c>
      <c r="C241" s="1188" t="s">
        <v>34</v>
      </c>
      <c r="D241" s="1441"/>
      <c r="E241" s="1290" t="s">
        <v>30</v>
      </c>
      <c r="F241" s="1235">
        <f t="shared" si="51"/>
        <v>300000</v>
      </c>
      <c r="G241" s="1235">
        <f t="shared" si="52"/>
        <v>300000</v>
      </c>
      <c r="H241" s="1236">
        <f>SUM(H242:H246)</f>
        <v>300000</v>
      </c>
      <c r="I241" s="1237">
        <f>SUM(I242:I246)</f>
        <v>0</v>
      </c>
      <c r="J241" s="1237">
        <f>SUM(J242:J246)</f>
        <v>0</v>
      </c>
      <c r="K241" s="1237">
        <f>SUM(K242:K246)</f>
        <v>0</v>
      </c>
      <c r="L241" s="1237">
        <f>SUM(L242:L246)</f>
        <v>0</v>
      </c>
      <c r="M241" s="1235">
        <f t="shared" si="53"/>
        <v>0</v>
      </c>
      <c r="N241" s="1236">
        <f t="shared" ref="N241:Y241" si="55">SUM(N242:N246)</f>
        <v>0</v>
      </c>
      <c r="O241" s="1236">
        <f t="shared" si="55"/>
        <v>0</v>
      </c>
      <c r="P241" s="1236">
        <f t="shared" si="55"/>
        <v>0</v>
      </c>
      <c r="Q241" s="1236">
        <f t="shared" si="55"/>
        <v>0</v>
      </c>
      <c r="R241" s="1236">
        <f t="shared" si="55"/>
        <v>0</v>
      </c>
      <c r="S241" s="1236">
        <f t="shared" si="55"/>
        <v>0</v>
      </c>
      <c r="T241" s="1236">
        <f t="shared" si="55"/>
        <v>0</v>
      </c>
      <c r="U241" s="1236">
        <f t="shared" si="55"/>
        <v>0</v>
      </c>
      <c r="V241" s="1236">
        <f t="shared" si="55"/>
        <v>0</v>
      </c>
      <c r="W241" s="1236">
        <f t="shared" si="55"/>
        <v>0</v>
      </c>
      <c r="X241" s="1236">
        <f t="shared" si="55"/>
        <v>0</v>
      </c>
      <c r="Y241" s="1236">
        <f t="shared" si="55"/>
        <v>0</v>
      </c>
    </row>
    <row r="242" spans="1:25" s="1088" customFormat="1" ht="24">
      <c r="B242" s="1191"/>
      <c r="C242" s="1184" t="s">
        <v>34</v>
      </c>
      <c r="D242" s="1440">
        <v>1</v>
      </c>
      <c r="E242" s="1105" t="s">
        <v>131</v>
      </c>
      <c r="F242" s="1258">
        <f t="shared" si="51"/>
        <v>40000</v>
      </c>
      <c r="G242" s="1258">
        <f t="shared" si="52"/>
        <v>40000</v>
      </c>
      <c r="H242" s="1238">
        <v>40000</v>
      </c>
      <c r="I242" s="1239"/>
      <c r="J242" s="1239"/>
      <c r="K242" s="1239"/>
      <c r="L242" s="1239"/>
      <c r="M242" s="1258">
        <f t="shared" si="53"/>
        <v>0</v>
      </c>
      <c r="N242" s="1238"/>
      <c r="O242" s="1240"/>
      <c r="P242" s="1238"/>
      <c r="Q242" s="1238"/>
      <c r="R242" s="1238"/>
      <c r="S242" s="1238"/>
      <c r="T242" s="1238"/>
      <c r="U242" s="1238"/>
      <c r="V242" s="1238"/>
      <c r="W242" s="1238"/>
      <c r="X242" s="1240"/>
      <c r="Y242" s="1240"/>
    </row>
    <row r="243" spans="1:25" s="1088" customFormat="1" ht="36">
      <c r="B243" s="1191"/>
      <c r="C243" s="1184" t="s">
        <v>34</v>
      </c>
      <c r="D243" s="1440">
        <v>2</v>
      </c>
      <c r="E243" s="1105" t="s">
        <v>132</v>
      </c>
      <c r="F243" s="1258">
        <f t="shared" si="51"/>
        <v>10000</v>
      </c>
      <c r="G243" s="1258">
        <f t="shared" si="52"/>
        <v>10000</v>
      </c>
      <c r="H243" s="1238">
        <v>10000</v>
      </c>
      <c r="I243" s="1239"/>
      <c r="J243" s="1239"/>
      <c r="K243" s="1239"/>
      <c r="L243" s="1239"/>
      <c r="M243" s="1258">
        <f t="shared" si="53"/>
        <v>0</v>
      </c>
      <c r="N243" s="1238"/>
      <c r="O243" s="1240"/>
      <c r="P243" s="1238"/>
      <c r="Q243" s="1238"/>
      <c r="R243" s="1238"/>
      <c r="S243" s="1238"/>
      <c r="T243" s="1238"/>
      <c r="U243" s="1238"/>
      <c r="V243" s="1238"/>
      <c r="W243" s="1238"/>
      <c r="X243" s="1240"/>
      <c r="Y243" s="1240"/>
    </row>
    <row r="244" spans="1:25" s="1088" customFormat="1" ht="60">
      <c r="B244" s="1191"/>
      <c r="C244" s="1184" t="s">
        <v>34</v>
      </c>
      <c r="D244" s="1440">
        <v>3</v>
      </c>
      <c r="E244" s="1085" t="s">
        <v>475</v>
      </c>
      <c r="F244" s="1258">
        <f t="shared" si="51"/>
        <v>100000</v>
      </c>
      <c r="G244" s="1258">
        <f t="shared" si="52"/>
        <v>100000</v>
      </c>
      <c r="H244" s="1238">
        <f>50000+50000</f>
        <v>100000</v>
      </c>
      <c r="I244" s="1239"/>
      <c r="J244" s="1239"/>
      <c r="K244" s="1239"/>
      <c r="L244" s="1239"/>
      <c r="M244" s="1258">
        <f t="shared" si="53"/>
        <v>0</v>
      </c>
      <c r="N244" s="1238"/>
      <c r="O244" s="1240"/>
      <c r="P244" s="1238"/>
      <c r="Q244" s="1238"/>
      <c r="R244" s="1238"/>
      <c r="S244" s="1238"/>
      <c r="T244" s="1238"/>
      <c r="U244" s="1238"/>
      <c r="V244" s="1238"/>
      <c r="W244" s="1238"/>
      <c r="X244" s="1240"/>
      <c r="Y244" s="1240"/>
    </row>
    <row r="245" spans="1:25" s="1088" customFormat="1" ht="60">
      <c r="B245" s="1191"/>
      <c r="C245" s="1184" t="s">
        <v>34</v>
      </c>
      <c r="D245" s="1440">
        <v>4</v>
      </c>
      <c r="E245" s="1085" t="s">
        <v>476</v>
      </c>
      <c r="F245" s="1258">
        <f t="shared" si="51"/>
        <v>120000</v>
      </c>
      <c r="G245" s="1258">
        <f t="shared" si="52"/>
        <v>120000</v>
      </c>
      <c r="H245" s="1238">
        <f>60000+60000</f>
        <v>120000</v>
      </c>
      <c r="I245" s="1239"/>
      <c r="J245" s="1239"/>
      <c r="K245" s="1239"/>
      <c r="L245" s="1239"/>
      <c r="M245" s="1258">
        <f t="shared" si="53"/>
        <v>0</v>
      </c>
      <c r="N245" s="1238"/>
      <c r="O245" s="1240"/>
      <c r="P245" s="1238"/>
      <c r="Q245" s="1238"/>
      <c r="R245" s="1238"/>
      <c r="S245" s="1238"/>
      <c r="T245" s="1238"/>
      <c r="U245" s="1238"/>
      <c r="V245" s="1238"/>
      <c r="W245" s="1238"/>
      <c r="X245" s="1240"/>
      <c r="Y245" s="1240"/>
    </row>
    <row r="246" spans="1:25" s="1088" customFormat="1" ht="48">
      <c r="B246" s="1191"/>
      <c r="C246" s="1184" t="s">
        <v>34</v>
      </c>
      <c r="D246" s="1440">
        <v>5</v>
      </c>
      <c r="E246" s="1085" t="s">
        <v>477</v>
      </c>
      <c r="F246" s="1258">
        <f t="shared" si="51"/>
        <v>30000</v>
      </c>
      <c r="G246" s="1258">
        <f t="shared" si="52"/>
        <v>30000</v>
      </c>
      <c r="H246" s="1238">
        <v>30000</v>
      </c>
      <c r="I246" s="1239"/>
      <c r="J246" s="1239"/>
      <c r="K246" s="1239"/>
      <c r="L246" s="1239"/>
      <c r="M246" s="1258">
        <f t="shared" si="53"/>
        <v>0</v>
      </c>
      <c r="N246" s="1238"/>
      <c r="O246" s="1240"/>
      <c r="P246" s="1238"/>
      <c r="Q246" s="1238"/>
      <c r="R246" s="1238"/>
      <c r="S246" s="1238"/>
      <c r="T246" s="1238"/>
      <c r="U246" s="1238"/>
      <c r="V246" s="1238"/>
      <c r="W246" s="1238"/>
      <c r="X246" s="1240"/>
      <c r="Y246" s="1240"/>
    </row>
    <row r="247" spans="1:25" s="1095" customFormat="1" ht="24">
      <c r="A247" s="1095">
        <v>11</v>
      </c>
      <c r="B247" s="1707">
        <v>11</v>
      </c>
      <c r="C247" s="1708" t="s">
        <v>34</v>
      </c>
      <c r="D247" s="1709">
        <v>6</v>
      </c>
      <c r="E247" s="1710" t="s">
        <v>312</v>
      </c>
      <c r="F247" s="1263">
        <f t="shared" si="51"/>
        <v>3742086</v>
      </c>
      <c r="G247" s="1263">
        <f t="shared" si="52"/>
        <v>2713000</v>
      </c>
      <c r="H247" s="1247">
        <f>SUM(H248:H260)</f>
        <v>2713000</v>
      </c>
      <c r="I247" s="1250">
        <f>SUM(I248:I260)</f>
        <v>0</v>
      </c>
      <c r="J247" s="1250">
        <f>SUM(J248:J260)</f>
        <v>0</v>
      </c>
      <c r="K247" s="1250">
        <f>SUM(K248:K260)</f>
        <v>0</v>
      </c>
      <c r="L247" s="1250">
        <f>SUM(L248:L260)</f>
        <v>0</v>
      </c>
      <c r="M247" s="1263">
        <f t="shared" si="53"/>
        <v>1029086</v>
      </c>
      <c r="N247" s="1247">
        <f t="shared" ref="N247:Y247" si="56">SUM(N248:N260)</f>
        <v>179400</v>
      </c>
      <c r="O247" s="1247">
        <f t="shared" si="56"/>
        <v>36000</v>
      </c>
      <c r="P247" s="1247">
        <f t="shared" si="56"/>
        <v>2400</v>
      </c>
      <c r="Q247" s="1247">
        <f t="shared" si="56"/>
        <v>43390</v>
      </c>
      <c r="R247" s="1247">
        <f t="shared" si="56"/>
        <v>63376</v>
      </c>
      <c r="S247" s="1247">
        <f t="shared" si="56"/>
        <v>72110</v>
      </c>
      <c r="T247" s="1247">
        <f t="shared" si="56"/>
        <v>90500</v>
      </c>
      <c r="U247" s="1247">
        <f t="shared" si="56"/>
        <v>106130</v>
      </c>
      <c r="V247" s="1247">
        <f t="shared" si="56"/>
        <v>230620</v>
      </c>
      <c r="W247" s="1247">
        <f t="shared" si="56"/>
        <v>28000</v>
      </c>
      <c r="X247" s="1247">
        <f t="shared" si="56"/>
        <v>94116</v>
      </c>
      <c r="Y247" s="1247">
        <f t="shared" si="56"/>
        <v>83044</v>
      </c>
    </row>
    <row r="248" spans="1:25" s="1088" customFormat="1" ht="108">
      <c r="B248" s="1191"/>
      <c r="C248" s="1184" t="s">
        <v>34</v>
      </c>
      <c r="D248" s="1440">
        <v>7</v>
      </c>
      <c r="E248" s="1297" t="s">
        <v>712</v>
      </c>
      <c r="F248" s="1258">
        <f t="shared" si="51"/>
        <v>690614</v>
      </c>
      <c r="G248" s="1258">
        <f t="shared" si="52"/>
        <v>550000</v>
      </c>
      <c r="H248" s="1269">
        <v>550000</v>
      </c>
      <c r="I248" s="1239"/>
      <c r="J248" s="1239"/>
      <c r="K248" s="1239"/>
      <c r="L248" s="1239"/>
      <c r="M248" s="1258">
        <f t="shared" si="53"/>
        <v>140614</v>
      </c>
      <c r="N248" s="1240">
        <v>31320</v>
      </c>
      <c r="O248" s="1240">
        <v>3500</v>
      </c>
      <c r="P248" s="1238"/>
      <c r="Q248" s="1240">
        <v>4180</v>
      </c>
      <c r="R248" s="1238">
        <v>22200</v>
      </c>
      <c r="S248" s="1238"/>
      <c r="T248" s="1238">
        <v>35500</v>
      </c>
      <c r="U248" s="1240">
        <v>7790</v>
      </c>
      <c r="V248" s="1240">
        <v>14900</v>
      </c>
      <c r="W248" s="1255">
        <v>6670</v>
      </c>
      <c r="X248" s="1238">
        <v>2160</v>
      </c>
      <c r="Y248" s="1238">
        <v>12394</v>
      </c>
    </row>
    <row r="249" spans="1:25" s="1088" customFormat="1" ht="24">
      <c r="B249" s="1092"/>
      <c r="C249" s="1184" t="s">
        <v>34</v>
      </c>
      <c r="D249" s="1440">
        <v>8</v>
      </c>
      <c r="E249" s="1195" t="s">
        <v>366</v>
      </c>
      <c r="F249" s="1258">
        <f t="shared" si="51"/>
        <v>1243036</v>
      </c>
      <c r="G249" s="1258">
        <f t="shared" si="52"/>
        <v>1000000</v>
      </c>
      <c r="H249" s="1255">
        <v>1000000</v>
      </c>
      <c r="I249" s="1239"/>
      <c r="J249" s="1239"/>
      <c r="K249" s="1239"/>
      <c r="L249" s="1239"/>
      <c r="M249" s="1258">
        <f t="shared" si="53"/>
        <v>243036</v>
      </c>
      <c r="N249" s="1238"/>
      <c r="O249" s="1240">
        <v>30000</v>
      </c>
      <c r="P249" s="1238"/>
      <c r="Q249" s="1238"/>
      <c r="R249" s="1238"/>
      <c r="S249" s="1238">
        <v>64320</v>
      </c>
      <c r="T249" s="1238"/>
      <c r="U249" s="1240">
        <f>13440+69680</f>
        <v>83120</v>
      </c>
      <c r="V249" s="1240"/>
      <c r="W249" s="1255">
        <v>2880</v>
      </c>
      <c r="X249" s="1238">
        <v>31356</v>
      </c>
      <c r="Y249" s="1238">
        <f>26800+4560</f>
        <v>31360</v>
      </c>
    </row>
    <row r="250" spans="1:25" s="1088" customFormat="1" ht="24">
      <c r="B250" s="1092"/>
      <c r="C250" s="1184" t="s">
        <v>34</v>
      </c>
      <c r="D250" s="1440">
        <v>9</v>
      </c>
      <c r="E250" s="1195" t="s">
        <v>367</v>
      </c>
      <c r="F250" s="1258">
        <f t="shared" si="51"/>
        <v>8000</v>
      </c>
      <c r="G250" s="1258">
        <f t="shared" si="52"/>
        <v>8000</v>
      </c>
      <c r="H250" s="1255">
        <v>8000</v>
      </c>
      <c r="I250" s="1239"/>
      <c r="J250" s="1239"/>
      <c r="K250" s="1239"/>
      <c r="L250" s="1239"/>
      <c r="M250" s="1258">
        <f t="shared" si="53"/>
        <v>0</v>
      </c>
      <c r="N250" s="1238"/>
      <c r="O250" s="1238"/>
      <c r="P250" s="1238"/>
      <c r="Q250" s="1238"/>
      <c r="R250" s="1238"/>
      <c r="S250" s="1238"/>
      <c r="T250" s="1238"/>
      <c r="U250" s="1238"/>
      <c r="V250" s="1238"/>
      <c r="W250" s="1238"/>
      <c r="X250" s="1238"/>
      <c r="Y250" s="1238"/>
    </row>
    <row r="251" spans="1:25" s="1088" customFormat="1">
      <c r="B251" s="1092"/>
      <c r="C251" s="1184" t="s">
        <v>34</v>
      </c>
      <c r="D251" s="1440">
        <v>10</v>
      </c>
      <c r="E251" s="1106" t="s">
        <v>368</v>
      </c>
      <c r="F251" s="1258">
        <f t="shared" si="51"/>
        <v>20750</v>
      </c>
      <c r="G251" s="1258">
        <f t="shared" si="52"/>
        <v>20000</v>
      </c>
      <c r="H251" s="1255">
        <v>20000</v>
      </c>
      <c r="I251" s="1239"/>
      <c r="J251" s="1239"/>
      <c r="K251" s="1239"/>
      <c r="L251" s="1239"/>
      <c r="M251" s="1258">
        <f t="shared" si="53"/>
        <v>750</v>
      </c>
      <c r="N251" s="1240"/>
      <c r="O251" s="1240"/>
      <c r="P251" s="1240"/>
      <c r="Q251" s="1240"/>
      <c r="R251" s="1240"/>
      <c r="S251" s="1240"/>
      <c r="T251" s="1240"/>
      <c r="U251" s="1240"/>
      <c r="V251" s="1240"/>
      <c r="W251" s="1240"/>
      <c r="X251" s="1240"/>
      <c r="Y251" s="1238">
        <v>750</v>
      </c>
    </row>
    <row r="252" spans="1:25" s="1088" customFormat="1">
      <c r="B252" s="1092"/>
      <c r="C252" s="1184" t="s">
        <v>34</v>
      </c>
      <c r="D252" s="1440">
        <v>11</v>
      </c>
      <c r="E252" s="1106" t="s">
        <v>369</v>
      </c>
      <c r="F252" s="1258">
        <f t="shared" si="51"/>
        <v>35000</v>
      </c>
      <c r="G252" s="1258">
        <f t="shared" si="52"/>
        <v>35000</v>
      </c>
      <c r="H252" s="1255">
        <v>35000</v>
      </c>
      <c r="I252" s="1239"/>
      <c r="J252" s="1239"/>
      <c r="K252" s="1239"/>
      <c r="L252" s="1239"/>
      <c r="M252" s="1258">
        <f t="shared" si="53"/>
        <v>0</v>
      </c>
      <c r="N252" s="1240"/>
      <c r="O252" s="1240"/>
      <c r="P252" s="1238"/>
      <c r="Q252" s="1240"/>
      <c r="R252" s="1240"/>
      <c r="S252" s="1240"/>
      <c r="T252" s="1240"/>
      <c r="U252" s="1240"/>
      <c r="V252" s="1240"/>
      <c r="W252" s="1240"/>
      <c r="X252" s="1240"/>
      <c r="Y252" s="1238"/>
    </row>
    <row r="253" spans="1:25" s="1088" customFormat="1" ht="48">
      <c r="B253" s="1092"/>
      <c r="C253" s="1184" t="s">
        <v>34</v>
      </c>
      <c r="D253" s="1440">
        <v>12</v>
      </c>
      <c r="E253" s="1195" t="s">
        <v>372</v>
      </c>
      <c r="F253" s="1258">
        <f t="shared" si="51"/>
        <v>585360</v>
      </c>
      <c r="G253" s="1258">
        <f t="shared" si="52"/>
        <v>300000</v>
      </c>
      <c r="H253" s="1269">
        <v>300000</v>
      </c>
      <c r="I253" s="1239"/>
      <c r="J253" s="1239"/>
      <c r="K253" s="1239"/>
      <c r="L253" s="1239"/>
      <c r="M253" s="1258">
        <f t="shared" si="53"/>
        <v>285360</v>
      </c>
      <c r="N253" s="1240">
        <v>148080</v>
      </c>
      <c r="O253" s="1240"/>
      <c r="P253" s="1238"/>
      <c r="Q253" s="1240"/>
      <c r="R253" s="1240"/>
      <c r="S253" s="1240"/>
      <c r="T253" s="1240"/>
      <c r="U253" s="1240"/>
      <c r="V253" s="1240">
        <v>135220</v>
      </c>
      <c r="W253" s="1240"/>
      <c r="X253" s="1240"/>
      <c r="Y253" s="1238">
        <v>2060</v>
      </c>
    </row>
    <row r="254" spans="1:25" s="1088" customFormat="1" ht="96">
      <c r="B254" s="1092"/>
      <c r="C254" s="1184" t="s">
        <v>34</v>
      </c>
      <c r="D254" s="1440">
        <v>13</v>
      </c>
      <c r="E254" s="1195" t="s">
        <v>624</v>
      </c>
      <c r="F254" s="1258">
        <f t="shared" si="51"/>
        <v>186466</v>
      </c>
      <c r="G254" s="1258">
        <f t="shared" si="52"/>
        <v>150000</v>
      </c>
      <c r="H254" s="1255">
        <v>150000</v>
      </c>
      <c r="I254" s="1239"/>
      <c r="J254" s="1239"/>
      <c r="K254" s="1239"/>
      <c r="L254" s="1239"/>
      <c r="M254" s="1258">
        <f t="shared" si="53"/>
        <v>36466</v>
      </c>
      <c r="N254" s="1240"/>
      <c r="O254" s="1240"/>
      <c r="P254" s="1238"/>
      <c r="Q254" s="1240"/>
      <c r="R254" s="1240">
        <v>4176</v>
      </c>
      <c r="S254" s="1240">
        <v>7790</v>
      </c>
      <c r="T254" s="1240"/>
      <c r="U254" s="1240">
        <v>3520</v>
      </c>
      <c r="V254" s="1240">
        <v>10000</v>
      </c>
      <c r="W254" s="1240"/>
      <c r="X254" s="1240"/>
      <c r="Y254" s="1238">
        <v>10980</v>
      </c>
    </row>
    <row r="255" spans="1:25" s="1088" customFormat="1" ht="24">
      <c r="B255" s="1092"/>
      <c r="C255" s="1184" t="s">
        <v>34</v>
      </c>
      <c r="D255" s="1440">
        <v>14</v>
      </c>
      <c r="E255" s="1195" t="s">
        <v>374</v>
      </c>
      <c r="F255" s="1258">
        <f t="shared" si="51"/>
        <v>100410</v>
      </c>
      <c r="G255" s="1258">
        <f t="shared" si="52"/>
        <v>30000</v>
      </c>
      <c r="H255" s="1238">
        <v>30000</v>
      </c>
      <c r="I255" s="1239"/>
      <c r="J255" s="1239"/>
      <c r="K255" s="1239"/>
      <c r="L255" s="1239"/>
      <c r="M255" s="1258">
        <f t="shared" si="53"/>
        <v>70410</v>
      </c>
      <c r="N255" s="1240"/>
      <c r="O255" s="1240">
        <v>2500</v>
      </c>
      <c r="P255" s="1238">
        <v>2400</v>
      </c>
      <c r="Q255" s="1240">
        <v>5410</v>
      </c>
      <c r="R255" s="1240">
        <v>1600</v>
      </c>
      <c r="S255" s="1240"/>
      <c r="T255" s="1240">
        <v>20000</v>
      </c>
      <c r="U255" s="1238"/>
      <c r="V255" s="1240">
        <v>35000</v>
      </c>
      <c r="W255" s="1240"/>
      <c r="X255" s="1240">
        <v>3000</v>
      </c>
      <c r="Y255" s="1238">
        <v>500</v>
      </c>
    </row>
    <row r="256" spans="1:25" s="1088" customFormat="1">
      <c r="B256" s="1092"/>
      <c r="C256" s="1184" t="s">
        <v>34</v>
      </c>
      <c r="D256" s="1440">
        <v>15</v>
      </c>
      <c r="E256" s="1106" t="s">
        <v>375</v>
      </c>
      <c r="F256" s="1258">
        <f t="shared" si="51"/>
        <v>20000</v>
      </c>
      <c r="G256" s="1258">
        <f t="shared" si="52"/>
        <v>20000</v>
      </c>
      <c r="H256" s="1238">
        <v>20000</v>
      </c>
      <c r="I256" s="1239"/>
      <c r="J256" s="1239"/>
      <c r="K256" s="1239"/>
      <c r="L256" s="1239"/>
      <c r="M256" s="1258">
        <f t="shared" si="53"/>
        <v>0</v>
      </c>
      <c r="N256" s="1240"/>
      <c r="O256" s="1240"/>
      <c r="P256" s="1238"/>
      <c r="Q256" s="1240"/>
      <c r="R256" s="1240"/>
      <c r="S256" s="1240"/>
      <c r="T256" s="1240"/>
      <c r="U256" s="1240"/>
      <c r="V256" s="1240"/>
      <c r="W256" s="1240"/>
      <c r="X256" s="1240"/>
      <c r="Y256" s="1238"/>
    </row>
    <row r="257" spans="1:25" s="1088" customFormat="1" ht="36">
      <c r="B257" s="1092"/>
      <c r="C257" s="1184" t="s">
        <v>34</v>
      </c>
      <c r="D257" s="1440">
        <v>16</v>
      </c>
      <c r="E257" s="1195" t="s">
        <v>379</v>
      </c>
      <c r="F257" s="1258">
        <f t="shared" si="51"/>
        <v>150000</v>
      </c>
      <c r="G257" s="1258">
        <f t="shared" si="52"/>
        <v>150000</v>
      </c>
      <c r="H257" s="1238">
        <v>150000</v>
      </c>
      <c r="I257" s="1239"/>
      <c r="J257" s="1239"/>
      <c r="K257" s="1239"/>
      <c r="L257" s="1239"/>
      <c r="M257" s="1258">
        <f t="shared" si="53"/>
        <v>0</v>
      </c>
      <c r="N257" s="1240"/>
      <c r="O257" s="1240"/>
      <c r="P257" s="1238"/>
      <c r="Q257" s="1240"/>
      <c r="R257" s="1240"/>
      <c r="S257" s="1240"/>
      <c r="T257" s="1240"/>
      <c r="U257" s="1240"/>
      <c r="V257" s="1240"/>
      <c r="W257" s="1240"/>
      <c r="X257" s="1240"/>
      <c r="Y257" s="1238"/>
    </row>
    <row r="258" spans="1:25" s="1088" customFormat="1" ht="36">
      <c r="B258" s="1092"/>
      <c r="C258" s="1184" t="s">
        <v>34</v>
      </c>
      <c r="D258" s="1440">
        <v>17</v>
      </c>
      <c r="E258" s="1298" t="s">
        <v>380</v>
      </c>
      <c r="F258" s="1258">
        <f t="shared" si="51"/>
        <v>150000</v>
      </c>
      <c r="G258" s="1258">
        <f t="shared" si="52"/>
        <v>150000</v>
      </c>
      <c r="H258" s="1238">
        <v>150000</v>
      </c>
      <c r="I258" s="1239"/>
      <c r="J258" s="1239"/>
      <c r="K258" s="1239"/>
      <c r="L258" s="1239"/>
      <c r="M258" s="1258">
        <f t="shared" si="53"/>
        <v>0</v>
      </c>
      <c r="N258" s="1240"/>
      <c r="O258" s="1240"/>
      <c r="P258" s="1238"/>
      <c r="Q258" s="1240"/>
      <c r="R258" s="1240"/>
      <c r="S258" s="1240"/>
      <c r="T258" s="1240"/>
      <c r="U258" s="1240"/>
      <c r="V258" s="1240"/>
      <c r="W258" s="1240"/>
      <c r="X258" s="1240"/>
      <c r="Y258" s="1238"/>
    </row>
    <row r="259" spans="1:25" s="1088" customFormat="1">
      <c r="B259" s="1092"/>
      <c r="C259" s="1184" t="s">
        <v>34</v>
      </c>
      <c r="D259" s="1440">
        <v>18</v>
      </c>
      <c r="E259" s="1299" t="s">
        <v>382</v>
      </c>
      <c r="F259" s="1258">
        <f t="shared" si="51"/>
        <v>120650</v>
      </c>
      <c r="G259" s="1258">
        <f t="shared" si="52"/>
        <v>50000</v>
      </c>
      <c r="H259" s="1238">
        <v>50000</v>
      </c>
      <c r="I259" s="1239"/>
      <c r="J259" s="1239"/>
      <c r="K259" s="1239"/>
      <c r="L259" s="1239"/>
      <c r="M259" s="1258">
        <f t="shared" si="53"/>
        <v>70650</v>
      </c>
      <c r="N259" s="1238"/>
      <c r="O259" s="1238"/>
      <c r="P259" s="1238"/>
      <c r="Q259" s="1240">
        <v>12800</v>
      </c>
      <c r="R259" s="1238">
        <v>5400</v>
      </c>
      <c r="S259" s="1238"/>
      <c r="T259" s="1238">
        <v>8000</v>
      </c>
      <c r="U259" s="1240">
        <v>2700</v>
      </c>
      <c r="V259" s="1238">
        <v>6000</v>
      </c>
      <c r="W259" s="1255">
        <v>5950</v>
      </c>
      <c r="X259" s="1238">
        <v>22800</v>
      </c>
      <c r="Y259" s="1238">
        <v>7000</v>
      </c>
    </row>
    <row r="260" spans="1:25" s="1088" customFormat="1">
      <c r="B260" s="1092"/>
      <c r="C260" s="1184" t="s">
        <v>34</v>
      </c>
      <c r="D260" s="1440">
        <v>19</v>
      </c>
      <c r="E260" s="1299" t="s">
        <v>383</v>
      </c>
      <c r="F260" s="1258">
        <f t="shared" si="51"/>
        <v>431800</v>
      </c>
      <c r="G260" s="1258">
        <f t="shared" si="52"/>
        <v>250000</v>
      </c>
      <c r="H260" s="1238">
        <v>250000</v>
      </c>
      <c r="I260" s="1239"/>
      <c r="J260" s="1239"/>
      <c r="K260" s="1239"/>
      <c r="L260" s="1239"/>
      <c r="M260" s="1258">
        <f t="shared" si="53"/>
        <v>181800</v>
      </c>
      <c r="N260" s="1238"/>
      <c r="O260" s="1238"/>
      <c r="P260" s="1238"/>
      <c r="Q260" s="1238">
        <v>21000</v>
      </c>
      <c r="R260" s="1238">
        <v>30000</v>
      </c>
      <c r="S260" s="1238"/>
      <c r="T260" s="1238">
        <v>27000</v>
      </c>
      <c r="U260" s="1240">
        <v>9000</v>
      </c>
      <c r="V260" s="1238">
        <v>29500</v>
      </c>
      <c r="W260" s="1255">
        <v>12500</v>
      </c>
      <c r="X260" s="1238">
        <v>34800</v>
      </c>
      <c r="Y260" s="1238">
        <v>18000</v>
      </c>
    </row>
    <row r="261" spans="1:25" s="1075" customFormat="1" ht="24">
      <c r="A261" s="1075">
        <v>12</v>
      </c>
      <c r="B261" s="1200">
        <v>12</v>
      </c>
      <c r="C261" s="1172" t="s">
        <v>34</v>
      </c>
      <c r="D261" s="1438"/>
      <c r="E261" s="1300" t="s">
        <v>22</v>
      </c>
      <c r="F261" s="1249">
        <f t="shared" si="51"/>
        <v>1579464.2</v>
      </c>
      <c r="G261" s="1249">
        <f t="shared" si="52"/>
        <v>380000</v>
      </c>
      <c r="H261" s="1233">
        <f>SUM(H262:H267)</f>
        <v>380000</v>
      </c>
      <c r="I261" s="1234">
        <f>SUM(I262:I267)</f>
        <v>0</v>
      </c>
      <c r="J261" s="1234">
        <f>SUM(J262:J267)</f>
        <v>0</v>
      </c>
      <c r="K261" s="1234">
        <f>SUM(K262:K267)</f>
        <v>0</v>
      </c>
      <c r="L261" s="1234">
        <f>SUM(L262:L267)</f>
        <v>0</v>
      </c>
      <c r="M261" s="1249">
        <f t="shared" si="53"/>
        <v>1199464.2</v>
      </c>
      <c r="N261" s="1233">
        <f t="shared" ref="N261:Y261" si="57">SUM(N262:N267)</f>
        <v>185643</v>
      </c>
      <c r="O261" s="1233">
        <f t="shared" si="57"/>
        <v>37314</v>
      </c>
      <c r="P261" s="1233">
        <f t="shared" si="57"/>
        <v>20344</v>
      </c>
      <c r="Q261" s="1233">
        <f t="shared" si="57"/>
        <v>109438</v>
      </c>
      <c r="R261" s="1233">
        <f t="shared" si="57"/>
        <v>138000</v>
      </c>
      <c r="S261" s="1233">
        <f t="shared" si="57"/>
        <v>41214.199999999997</v>
      </c>
      <c r="T261" s="1233">
        <f t="shared" si="57"/>
        <v>109104</v>
      </c>
      <c r="U261" s="1233">
        <f t="shared" si="57"/>
        <v>178678</v>
      </c>
      <c r="V261" s="1233">
        <f t="shared" si="57"/>
        <v>152189</v>
      </c>
      <c r="W261" s="1233">
        <f t="shared" si="57"/>
        <v>110300</v>
      </c>
      <c r="X261" s="1233">
        <f t="shared" si="57"/>
        <v>57500</v>
      </c>
      <c r="Y261" s="1233">
        <f t="shared" si="57"/>
        <v>59740</v>
      </c>
    </row>
    <row r="262" spans="1:25" s="1088" customFormat="1" ht="36">
      <c r="B262" s="1127"/>
      <c r="C262" s="1184" t="s">
        <v>34</v>
      </c>
      <c r="D262" s="1440">
        <v>1</v>
      </c>
      <c r="E262" s="1301" t="s">
        <v>503</v>
      </c>
      <c r="F262" s="1258">
        <f t="shared" si="51"/>
        <v>41280</v>
      </c>
      <c r="G262" s="1258">
        <f t="shared" si="52"/>
        <v>41280</v>
      </c>
      <c r="H262" s="1240">
        <v>41280</v>
      </c>
      <c r="I262" s="1239"/>
      <c r="J262" s="1239"/>
      <c r="K262" s="1239"/>
      <c r="L262" s="1239"/>
      <c r="M262" s="1258">
        <f t="shared" si="53"/>
        <v>0</v>
      </c>
      <c r="N262" s="1240"/>
      <c r="O262" s="1240"/>
      <c r="P262" s="1238"/>
      <c r="Q262" s="1240"/>
      <c r="R262" s="1240"/>
      <c r="S262" s="1240"/>
      <c r="T262" s="1240"/>
      <c r="U262" s="1240"/>
      <c r="V262" s="1240"/>
      <c r="W262" s="1240"/>
      <c r="X262" s="1240"/>
      <c r="Y262" s="1240"/>
    </row>
    <row r="263" spans="1:25" s="1088" customFormat="1" ht="24">
      <c r="B263" s="1127"/>
      <c r="C263" s="1184" t="s">
        <v>34</v>
      </c>
      <c r="D263" s="1440">
        <v>2</v>
      </c>
      <c r="E263" s="1202" t="s">
        <v>433</v>
      </c>
      <c r="F263" s="1258">
        <f t="shared" si="51"/>
        <v>276929</v>
      </c>
      <c r="G263" s="1258">
        <f t="shared" si="52"/>
        <v>157740</v>
      </c>
      <c r="H263" s="1240">
        <v>157740</v>
      </c>
      <c r="I263" s="1239"/>
      <c r="J263" s="1239"/>
      <c r="K263" s="1239"/>
      <c r="L263" s="1239"/>
      <c r="M263" s="1258">
        <f t="shared" si="53"/>
        <v>119189</v>
      </c>
      <c r="N263" s="1240"/>
      <c r="O263" s="1238"/>
      <c r="P263" s="1240"/>
      <c r="Q263" s="1240">
        <v>14720</v>
      </c>
      <c r="R263" s="1240">
        <v>10000</v>
      </c>
      <c r="S263" s="1240">
        <v>8680</v>
      </c>
      <c r="T263" s="1240">
        <v>3000</v>
      </c>
      <c r="U263" s="1240">
        <v>22380</v>
      </c>
      <c r="V263" s="1240">
        <v>44129</v>
      </c>
      <c r="W263" s="1240">
        <v>7500</v>
      </c>
      <c r="X263" s="1240">
        <v>1440</v>
      </c>
      <c r="Y263" s="1240">
        <v>7340</v>
      </c>
    </row>
    <row r="264" spans="1:25" s="1088" customFormat="1" ht="48">
      <c r="B264" s="1127"/>
      <c r="C264" s="1184" t="s">
        <v>34</v>
      </c>
      <c r="D264" s="1440">
        <v>3</v>
      </c>
      <c r="E264" s="1302" t="s">
        <v>504</v>
      </c>
      <c r="F264" s="1258">
        <f t="shared" si="51"/>
        <v>20000</v>
      </c>
      <c r="G264" s="1258">
        <f t="shared" si="52"/>
        <v>10000</v>
      </c>
      <c r="H264" s="1240">
        <v>10000</v>
      </c>
      <c r="I264" s="1239"/>
      <c r="J264" s="1239"/>
      <c r="K264" s="1239"/>
      <c r="L264" s="1239"/>
      <c r="M264" s="1258">
        <f t="shared" si="53"/>
        <v>10000</v>
      </c>
      <c r="N264" s="1240"/>
      <c r="O264" s="1240"/>
      <c r="P264" s="1238"/>
      <c r="Q264" s="1240">
        <v>10000</v>
      </c>
      <c r="R264" s="1240"/>
      <c r="S264" s="1240"/>
      <c r="T264" s="1240"/>
      <c r="U264" s="1240"/>
      <c r="V264" s="1240"/>
      <c r="W264" s="1240"/>
      <c r="X264" s="1240"/>
      <c r="Y264" s="1240"/>
    </row>
    <row r="265" spans="1:25" s="1088" customFormat="1" ht="24">
      <c r="B265" s="1127"/>
      <c r="C265" s="1184" t="s">
        <v>34</v>
      </c>
      <c r="D265" s="1440">
        <v>4</v>
      </c>
      <c r="E265" s="1302" t="s">
        <v>56</v>
      </c>
      <c r="F265" s="1258">
        <f t="shared" si="51"/>
        <v>111450</v>
      </c>
      <c r="G265" s="1258">
        <f t="shared" si="52"/>
        <v>70980</v>
      </c>
      <c r="H265" s="1240">
        <v>70980</v>
      </c>
      <c r="I265" s="1239"/>
      <c r="J265" s="1239"/>
      <c r="K265" s="1239"/>
      <c r="L265" s="1239"/>
      <c r="M265" s="1258">
        <f t="shared" si="53"/>
        <v>40470</v>
      </c>
      <c r="N265" s="1240">
        <v>6900</v>
      </c>
      <c r="O265" s="1240"/>
      <c r="P265" s="1238">
        <v>1180</v>
      </c>
      <c r="Q265" s="1240">
        <v>4600</v>
      </c>
      <c r="R265" s="1240">
        <v>3000</v>
      </c>
      <c r="S265" s="1240">
        <v>1270</v>
      </c>
      <c r="T265" s="1240"/>
      <c r="U265" s="1240">
        <v>3500</v>
      </c>
      <c r="V265" s="1240">
        <v>12760</v>
      </c>
      <c r="W265" s="1240">
        <v>2800</v>
      </c>
      <c r="X265" s="1240">
        <v>2160</v>
      </c>
      <c r="Y265" s="1240">
        <v>2300</v>
      </c>
    </row>
    <row r="266" spans="1:25" s="1088" customFormat="1" ht="36">
      <c r="B266" s="1127"/>
      <c r="C266" s="1184" t="s">
        <v>34</v>
      </c>
      <c r="D266" s="1440">
        <v>5</v>
      </c>
      <c r="E266" s="1302" t="s">
        <v>506</v>
      </c>
      <c r="F266" s="1258">
        <f t="shared" si="51"/>
        <v>32704</v>
      </c>
      <c r="G266" s="1258">
        <f t="shared" si="52"/>
        <v>0</v>
      </c>
      <c r="H266" s="1238"/>
      <c r="I266" s="1239"/>
      <c r="J266" s="1239"/>
      <c r="K266" s="1239"/>
      <c r="L266" s="1239"/>
      <c r="M266" s="1258">
        <f t="shared" si="53"/>
        <v>32704</v>
      </c>
      <c r="N266" s="1238">
        <v>5540</v>
      </c>
      <c r="O266" s="1238">
        <v>8000</v>
      </c>
      <c r="P266" s="1238">
        <v>19164</v>
      </c>
      <c r="Q266" s="1238"/>
      <c r="R266" s="1238"/>
      <c r="S266" s="1238"/>
      <c r="T266" s="1238"/>
      <c r="U266" s="1238"/>
      <c r="V266" s="1238"/>
      <c r="W266" s="1238"/>
      <c r="X266" s="1238"/>
      <c r="Y266" s="1238"/>
    </row>
    <row r="267" spans="1:25" s="1088" customFormat="1">
      <c r="B267" s="1127"/>
      <c r="C267" s="1184" t="s">
        <v>34</v>
      </c>
      <c r="D267" s="1440">
        <v>6</v>
      </c>
      <c r="E267" s="1203" t="s">
        <v>292</v>
      </c>
      <c r="F267" s="1258">
        <f t="shared" si="51"/>
        <v>1097101.2</v>
      </c>
      <c r="G267" s="1258">
        <f t="shared" si="52"/>
        <v>100000</v>
      </c>
      <c r="H267" s="1238">
        <v>100000</v>
      </c>
      <c r="I267" s="1239"/>
      <c r="J267" s="1239"/>
      <c r="K267" s="1239"/>
      <c r="L267" s="1239"/>
      <c r="M267" s="1258">
        <f t="shared" si="53"/>
        <v>997101.2</v>
      </c>
      <c r="N267" s="1238">
        <v>173203</v>
      </c>
      <c r="O267" s="1238">
        <v>29314</v>
      </c>
      <c r="P267" s="1238"/>
      <c r="Q267" s="1238">
        <v>80118</v>
      </c>
      <c r="R267" s="1238">
        <v>125000</v>
      </c>
      <c r="S267" s="1238">
        <v>31264.2</v>
      </c>
      <c r="T267" s="1238">
        <v>106104</v>
      </c>
      <c r="U267" s="1238">
        <v>152798</v>
      </c>
      <c r="V267" s="1238">
        <v>95300</v>
      </c>
      <c r="W267" s="1238">
        <v>100000</v>
      </c>
      <c r="X267" s="1238">
        <v>53900</v>
      </c>
      <c r="Y267" s="1238">
        <v>50100</v>
      </c>
    </row>
    <row r="268" spans="1:25" s="1075" customFormat="1" ht="24">
      <c r="A268" s="1075">
        <v>13</v>
      </c>
      <c r="B268" s="1093">
        <v>13</v>
      </c>
      <c r="C268" s="1204" t="s">
        <v>582</v>
      </c>
      <c r="D268" s="1442"/>
      <c r="E268" s="1303" t="s">
        <v>256</v>
      </c>
      <c r="F268" s="1232">
        <f t="shared" si="51"/>
        <v>100000</v>
      </c>
      <c r="G268" s="1232">
        <f t="shared" si="52"/>
        <v>100000</v>
      </c>
      <c r="H268" s="1233">
        <f>SUM(H269)</f>
        <v>0</v>
      </c>
      <c r="I268" s="1234">
        <f t="shared" ref="I268:Y268" si="58">SUM(I269)</f>
        <v>0</v>
      </c>
      <c r="J268" s="1234">
        <f t="shared" si="58"/>
        <v>0</v>
      </c>
      <c r="K268" s="1234">
        <f t="shared" si="58"/>
        <v>100000</v>
      </c>
      <c r="L268" s="1234">
        <f t="shared" si="58"/>
        <v>0</v>
      </c>
      <c r="M268" s="1232">
        <f t="shared" si="53"/>
        <v>0</v>
      </c>
      <c r="N268" s="1233">
        <f t="shared" si="58"/>
        <v>0</v>
      </c>
      <c r="O268" s="1233">
        <f t="shared" si="58"/>
        <v>0</v>
      </c>
      <c r="P268" s="1233">
        <f t="shared" si="58"/>
        <v>0</v>
      </c>
      <c r="Q268" s="1233">
        <f t="shared" si="58"/>
        <v>0</v>
      </c>
      <c r="R268" s="1233">
        <f t="shared" si="58"/>
        <v>0</v>
      </c>
      <c r="S268" s="1233">
        <f t="shared" si="58"/>
        <v>0</v>
      </c>
      <c r="T268" s="1233">
        <f t="shared" si="58"/>
        <v>0</v>
      </c>
      <c r="U268" s="1233">
        <f t="shared" si="58"/>
        <v>0</v>
      </c>
      <c r="V268" s="1233">
        <f t="shared" si="58"/>
        <v>0</v>
      </c>
      <c r="W268" s="1233">
        <f t="shared" si="58"/>
        <v>0</v>
      </c>
      <c r="X268" s="1233">
        <f t="shared" si="58"/>
        <v>0</v>
      </c>
      <c r="Y268" s="1233">
        <f t="shared" si="58"/>
        <v>0</v>
      </c>
    </row>
    <row r="269" spans="1:25" s="1088" customFormat="1" ht="24">
      <c r="B269" s="1184"/>
      <c r="C269" s="1205" t="s">
        <v>582</v>
      </c>
      <c r="D269" s="1443">
        <v>1</v>
      </c>
      <c r="E269" s="1304" t="s">
        <v>573</v>
      </c>
      <c r="F269" s="1263">
        <f t="shared" si="51"/>
        <v>100000</v>
      </c>
      <c r="G269" s="1263">
        <f t="shared" si="52"/>
        <v>100000</v>
      </c>
      <c r="H269" s="1238"/>
      <c r="I269" s="1239"/>
      <c r="J269" s="1239"/>
      <c r="K269" s="1277">
        <v>100000</v>
      </c>
      <c r="L269" s="1239"/>
      <c r="M269" s="1263">
        <f t="shared" si="53"/>
        <v>0</v>
      </c>
      <c r="N269" s="1238"/>
      <c r="O269" s="1238"/>
      <c r="P269" s="1238"/>
      <c r="Q269" s="1238"/>
      <c r="R269" s="1238"/>
      <c r="S269" s="1238"/>
      <c r="T269" s="1238"/>
      <c r="U269" s="1238"/>
      <c r="V269" s="1238"/>
      <c r="W269" s="1238"/>
      <c r="X269" s="1238"/>
      <c r="Y269" s="1238"/>
    </row>
    <row r="270" spans="1:25" s="1075" customFormat="1" ht="24">
      <c r="A270" s="1075">
        <v>14</v>
      </c>
      <c r="B270" s="1093">
        <v>14</v>
      </c>
      <c r="C270" s="1204" t="s">
        <v>582</v>
      </c>
      <c r="D270" s="1442"/>
      <c r="E270" s="1303" t="s">
        <v>239</v>
      </c>
      <c r="F270" s="1232">
        <f t="shared" si="51"/>
        <v>104920</v>
      </c>
      <c r="G270" s="1232">
        <f t="shared" si="52"/>
        <v>104920</v>
      </c>
      <c r="H270" s="1233">
        <f>SUM(H271:H273)</f>
        <v>0</v>
      </c>
      <c r="I270" s="1234">
        <f t="shared" ref="I270:Y270" si="59">SUM(I271:I273)</f>
        <v>0</v>
      </c>
      <c r="J270" s="1234">
        <f t="shared" si="59"/>
        <v>0</v>
      </c>
      <c r="K270" s="1234">
        <f t="shared" si="59"/>
        <v>104920</v>
      </c>
      <c r="L270" s="1234">
        <f t="shared" si="59"/>
        <v>0</v>
      </c>
      <c r="M270" s="1232">
        <f t="shared" si="53"/>
        <v>0</v>
      </c>
      <c r="N270" s="1233">
        <f t="shared" si="59"/>
        <v>0</v>
      </c>
      <c r="O270" s="1233">
        <f t="shared" si="59"/>
        <v>0</v>
      </c>
      <c r="P270" s="1233">
        <f t="shared" si="59"/>
        <v>0</v>
      </c>
      <c r="Q270" s="1233">
        <f t="shared" si="59"/>
        <v>0</v>
      </c>
      <c r="R270" s="1233">
        <f t="shared" si="59"/>
        <v>0</v>
      </c>
      <c r="S270" s="1233">
        <f t="shared" si="59"/>
        <v>0</v>
      </c>
      <c r="T270" s="1233">
        <f t="shared" si="59"/>
        <v>0</v>
      </c>
      <c r="U270" s="1233">
        <f t="shared" si="59"/>
        <v>0</v>
      </c>
      <c r="V270" s="1233">
        <f t="shared" si="59"/>
        <v>0</v>
      </c>
      <c r="W270" s="1233">
        <f t="shared" si="59"/>
        <v>0</v>
      </c>
      <c r="X270" s="1233">
        <f t="shared" si="59"/>
        <v>0</v>
      </c>
      <c r="Y270" s="1233">
        <f t="shared" si="59"/>
        <v>0</v>
      </c>
    </row>
    <row r="271" spans="1:25" s="1095" customFormat="1" ht="24">
      <c r="B271" s="1205"/>
      <c r="C271" s="1205" t="s">
        <v>582</v>
      </c>
      <c r="D271" s="1443">
        <v>1</v>
      </c>
      <c r="E271" s="1304" t="s">
        <v>574</v>
      </c>
      <c r="F271" s="1263">
        <f t="shared" si="51"/>
        <v>78180</v>
      </c>
      <c r="G271" s="1263">
        <f t="shared" si="52"/>
        <v>78180</v>
      </c>
      <c r="H271" s="1247"/>
      <c r="I271" s="1250"/>
      <c r="J271" s="1250"/>
      <c r="K271" s="1239">
        <v>78180</v>
      </c>
      <c r="L271" s="1250"/>
      <c r="M271" s="1263">
        <f t="shared" si="53"/>
        <v>0</v>
      </c>
      <c r="N271" s="1247"/>
      <c r="O271" s="1247"/>
      <c r="P271" s="1247"/>
      <c r="Q271" s="1247"/>
      <c r="R271" s="1247"/>
      <c r="S271" s="1247"/>
      <c r="T271" s="1247"/>
      <c r="U271" s="1247"/>
      <c r="V271" s="1247"/>
      <c r="W271" s="1247"/>
      <c r="X271" s="1247"/>
      <c r="Y271" s="1247"/>
    </row>
    <row r="272" spans="1:25" s="1145" customFormat="1" ht="36">
      <c r="B272" s="1205"/>
      <c r="C272" s="1205" t="s">
        <v>582</v>
      </c>
      <c r="D272" s="1443">
        <v>2</v>
      </c>
      <c r="E272" s="1206" t="s">
        <v>575</v>
      </c>
      <c r="F272" s="1263">
        <f t="shared" si="51"/>
        <v>16420</v>
      </c>
      <c r="G272" s="1263">
        <f t="shared" si="52"/>
        <v>16420</v>
      </c>
      <c r="H272" s="1242"/>
      <c r="I272" s="1243"/>
      <c r="J272" s="1243"/>
      <c r="K272" s="1241">
        <v>16420</v>
      </c>
      <c r="L272" s="1243"/>
      <c r="M272" s="1263">
        <f t="shared" si="53"/>
        <v>0</v>
      </c>
      <c r="N272" s="1242"/>
      <c r="O272" s="1242"/>
      <c r="P272" s="1242"/>
      <c r="Q272" s="1242"/>
      <c r="R272" s="1242"/>
      <c r="S272" s="1242"/>
      <c r="T272" s="1242"/>
      <c r="U272" s="1242"/>
      <c r="V272" s="1242"/>
      <c r="W272" s="1242"/>
      <c r="X272" s="1242"/>
      <c r="Y272" s="1242"/>
    </row>
    <row r="273" spans="1:25" s="1145" customFormat="1" ht="24">
      <c r="B273" s="1205"/>
      <c r="C273" s="1205" t="s">
        <v>582</v>
      </c>
      <c r="D273" s="1443">
        <v>3</v>
      </c>
      <c r="E273" s="1304" t="s">
        <v>227</v>
      </c>
      <c r="F273" s="1263">
        <f t="shared" si="51"/>
        <v>10320</v>
      </c>
      <c r="G273" s="1263">
        <f t="shared" si="52"/>
        <v>10320</v>
      </c>
      <c r="H273" s="1242"/>
      <c r="I273" s="1243"/>
      <c r="J273" s="1243"/>
      <c r="K273" s="1241">
        <v>10320</v>
      </c>
      <c r="L273" s="1243"/>
      <c r="M273" s="1263">
        <f t="shared" si="53"/>
        <v>0</v>
      </c>
      <c r="N273" s="1242"/>
      <c r="O273" s="1242"/>
      <c r="P273" s="1242"/>
      <c r="Q273" s="1242"/>
      <c r="R273" s="1242"/>
      <c r="S273" s="1242"/>
      <c r="T273" s="1242"/>
      <c r="U273" s="1242"/>
      <c r="V273" s="1242"/>
      <c r="W273" s="1242"/>
      <c r="X273" s="1242"/>
      <c r="Y273" s="1242"/>
    </row>
    <row r="274" spans="1:25" s="1148" customFormat="1" ht="36">
      <c r="A274" s="1148">
        <v>15</v>
      </c>
      <c r="B274" s="1171">
        <v>15</v>
      </c>
      <c r="C274" s="1172" t="s">
        <v>34</v>
      </c>
      <c r="D274" s="1438"/>
      <c r="E274" s="1305" t="s">
        <v>32</v>
      </c>
      <c r="F274" s="1249">
        <f t="shared" si="51"/>
        <v>355850</v>
      </c>
      <c r="G274" s="1249">
        <f t="shared" si="52"/>
        <v>217000</v>
      </c>
      <c r="H274" s="1233">
        <f>SUM(H275:H278)</f>
        <v>217000</v>
      </c>
      <c r="I274" s="1234">
        <f>SUM(I275:I278)</f>
        <v>0</v>
      </c>
      <c r="J274" s="1234">
        <f>SUM(J275:J278)</f>
        <v>0</v>
      </c>
      <c r="K274" s="1234">
        <f>SUM(K275:K278)</f>
        <v>0</v>
      </c>
      <c r="L274" s="1234">
        <f>SUM(L275:L278)</f>
        <v>0</v>
      </c>
      <c r="M274" s="1249">
        <f t="shared" si="53"/>
        <v>138850</v>
      </c>
      <c r="N274" s="1233">
        <f t="shared" ref="N274:Y274" si="60">SUM(N275:N278)</f>
        <v>11120</v>
      </c>
      <c r="O274" s="1233">
        <f t="shared" si="60"/>
        <v>12000</v>
      </c>
      <c r="P274" s="1233">
        <f t="shared" si="60"/>
        <v>25160</v>
      </c>
      <c r="Q274" s="1233">
        <f t="shared" si="60"/>
        <v>19000</v>
      </c>
      <c r="R274" s="1233">
        <f t="shared" si="60"/>
        <v>0</v>
      </c>
      <c r="S274" s="1233">
        <f t="shared" si="60"/>
        <v>1840</v>
      </c>
      <c r="T274" s="1233">
        <f t="shared" si="60"/>
        <v>20520</v>
      </c>
      <c r="U274" s="1233">
        <f t="shared" si="60"/>
        <v>1220</v>
      </c>
      <c r="V274" s="1233">
        <f t="shared" si="60"/>
        <v>4390</v>
      </c>
      <c r="W274" s="1233">
        <f t="shared" si="60"/>
        <v>26000</v>
      </c>
      <c r="X274" s="1233">
        <f t="shared" si="60"/>
        <v>6440</v>
      </c>
      <c r="Y274" s="1233">
        <f t="shared" si="60"/>
        <v>11160</v>
      </c>
    </row>
    <row r="275" spans="1:25" s="1145" customFormat="1" ht="36">
      <c r="B275" s="1092"/>
      <c r="C275" s="1184" t="s">
        <v>34</v>
      </c>
      <c r="D275" s="1440">
        <v>1</v>
      </c>
      <c r="E275" s="1202" t="s">
        <v>335</v>
      </c>
      <c r="F275" s="1258">
        <f t="shared" si="51"/>
        <v>50000</v>
      </c>
      <c r="G275" s="1258">
        <f t="shared" si="52"/>
        <v>50000</v>
      </c>
      <c r="H275" s="1238">
        <v>50000</v>
      </c>
      <c r="I275" s="1243"/>
      <c r="J275" s="1243"/>
      <c r="K275" s="1243"/>
      <c r="L275" s="1243"/>
      <c r="M275" s="1258">
        <f t="shared" si="53"/>
        <v>0</v>
      </c>
      <c r="N275" s="1242"/>
      <c r="O275" s="1242"/>
      <c r="P275" s="1242"/>
      <c r="Q275" s="1242"/>
      <c r="R275" s="1242"/>
      <c r="S275" s="1242"/>
      <c r="T275" s="1242"/>
      <c r="U275" s="1242"/>
      <c r="V275" s="1242"/>
      <c r="W275" s="1242"/>
      <c r="X275" s="1242"/>
      <c r="Y275" s="1242"/>
    </row>
    <row r="276" spans="1:25" s="1145" customFormat="1" ht="24">
      <c r="B276" s="1092"/>
      <c r="C276" s="1184" t="s">
        <v>34</v>
      </c>
      <c r="D276" s="1440">
        <v>2</v>
      </c>
      <c r="E276" s="1202" t="s">
        <v>337</v>
      </c>
      <c r="F276" s="1258">
        <f t="shared" ref="F276:F322" si="61">G276+M276</f>
        <v>167000</v>
      </c>
      <c r="G276" s="1258">
        <f t="shared" ref="G276:G277" si="62">SUM(H276:L276)</f>
        <v>167000</v>
      </c>
      <c r="H276" s="1238">
        <v>167000</v>
      </c>
      <c r="I276" s="1243"/>
      <c r="J276" s="1243"/>
      <c r="K276" s="1243"/>
      <c r="L276" s="1243"/>
      <c r="M276" s="1258">
        <f t="shared" ref="M276:M310" si="63">SUM(N276:Y276)</f>
        <v>0</v>
      </c>
      <c r="N276" s="1242"/>
      <c r="O276" s="1242"/>
      <c r="P276" s="1242"/>
      <c r="Q276" s="1242"/>
      <c r="R276" s="1242"/>
      <c r="S276" s="1242"/>
      <c r="T276" s="1242"/>
      <c r="U276" s="1242"/>
      <c r="V276" s="1242"/>
      <c r="W276" s="1242"/>
      <c r="X276" s="1242"/>
      <c r="Y276" s="1242"/>
    </row>
    <row r="277" spans="1:25" s="1145" customFormat="1" ht="60">
      <c r="B277" s="1092"/>
      <c r="C277" s="1184" t="s">
        <v>34</v>
      </c>
      <c r="D277" s="1440">
        <v>3</v>
      </c>
      <c r="E277" s="1208" t="s">
        <v>190</v>
      </c>
      <c r="F277" s="1258">
        <f t="shared" si="61"/>
        <v>116850</v>
      </c>
      <c r="G277" s="1258">
        <f t="shared" si="62"/>
        <v>0</v>
      </c>
      <c r="H277" s="1242"/>
      <c r="I277" s="1243"/>
      <c r="J277" s="1243"/>
      <c r="K277" s="1243"/>
      <c r="L277" s="1243"/>
      <c r="M277" s="1258">
        <f t="shared" si="63"/>
        <v>116850</v>
      </c>
      <c r="N277" s="1240">
        <v>11120</v>
      </c>
      <c r="O277" s="1240">
        <v>12000</v>
      </c>
      <c r="P277" s="1240">
        <v>25160</v>
      </c>
      <c r="Q277" s="1240">
        <v>6000</v>
      </c>
      <c r="R277" s="1240">
        <v>0</v>
      </c>
      <c r="S277" s="1240">
        <v>1840</v>
      </c>
      <c r="T277" s="1240">
        <v>20520</v>
      </c>
      <c r="U277" s="1240">
        <v>1220</v>
      </c>
      <c r="V277" s="1240">
        <v>4390</v>
      </c>
      <c r="W277" s="1240">
        <f>14000+3000</f>
        <v>17000</v>
      </c>
      <c r="X277" s="1240">
        <f>3520+2920</f>
        <v>6440</v>
      </c>
      <c r="Y277" s="1240">
        <v>11160</v>
      </c>
    </row>
    <row r="278" spans="1:25" s="1145" customFormat="1" ht="24">
      <c r="B278" s="1092"/>
      <c r="C278" s="1184" t="s">
        <v>34</v>
      </c>
      <c r="D278" s="1440">
        <v>4</v>
      </c>
      <c r="E278" s="1208" t="s">
        <v>205</v>
      </c>
      <c r="F278" s="1258">
        <f t="shared" si="61"/>
        <v>22000</v>
      </c>
      <c r="G278" s="1258">
        <f t="shared" ref="G278:G319" si="64">SUM(H278:L278)</f>
        <v>0</v>
      </c>
      <c r="H278" s="1242"/>
      <c r="I278" s="1243"/>
      <c r="J278" s="1243"/>
      <c r="K278" s="1243"/>
      <c r="L278" s="1243"/>
      <c r="M278" s="1258">
        <f t="shared" si="63"/>
        <v>22000</v>
      </c>
      <c r="N278" s="1255"/>
      <c r="O278" s="1278"/>
      <c r="P278" s="1278"/>
      <c r="Q278" s="1240">
        <v>13000</v>
      </c>
      <c r="R278" s="1240">
        <v>0</v>
      </c>
      <c r="S278" s="1278"/>
      <c r="T278" s="1278"/>
      <c r="U278" s="1278"/>
      <c r="V278" s="1278"/>
      <c r="W278" s="1240">
        <v>9000</v>
      </c>
      <c r="X278" s="1278"/>
      <c r="Y278" s="1278"/>
    </row>
    <row r="279" spans="1:25" s="1148" customFormat="1">
      <c r="A279" s="1148">
        <v>16</v>
      </c>
      <c r="B279" s="1171">
        <v>16</v>
      </c>
      <c r="C279" s="1172" t="s">
        <v>34</v>
      </c>
      <c r="D279" s="1438"/>
      <c r="E279" s="1305" t="s">
        <v>257</v>
      </c>
      <c r="F279" s="1249">
        <f t="shared" si="61"/>
        <v>430000</v>
      </c>
      <c r="G279" s="1249">
        <f t="shared" si="64"/>
        <v>430000</v>
      </c>
      <c r="H279" s="1233">
        <f>SUM(H280:H284)</f>
        <v>430000</v>
      </c>
      <c r="I279" s="1234">
        <f>SUM(I280:I284)</f>
        <v>0</v>
      </c>
      <c r="J279" s="1234">
        <f>SUM(J280:J284)</f>
        <v>0</v>
      </c>
      <c r="K279" s="1234">
        <f>SUM(K280:K284)</f>
        <v>0</v>
      </c>
      <c r="L279" s="1234">
        <f>SUM(L280:L284)</f>
        <v>0</v>
      </c>
      <c r="M279" s="1249">
        <f t="shared" si="63"/>
        <v>0</v>
      </c>
      <c r="N279" s="1233">
        <f t="shared" ref="N279:Y279" si="65">SUM(N280:N284)</f>
        <v>0</v>
      </c>
      <c r="O279" s="1233">
        <f t="shared" si="65"/>
        <v>0</v>
      </c>
      <c r="P279" s="1233">
        <f t="shared" si="65"/>
        <v>0</v>
      </c>
      <c r="Q279" s="1233">
        <f t="shared" si="65"/>
        <v>0</v>
      </c>
      <c r="R279" s="1233">
        <f t="shared" si="65"/>
        <v>0</v>
      </c>
      <c r="S279" s="1233">
        <f t="shared" si="65"/>
        <v>0</v>
      </c>
      <c r="T279" s="1233">
        <f t="shared" si="65"/>
        <v>0</v>
      </c>
      <c r="U279" s="1233">
        <f t="shared" si="65"/>
        <v>0</v>
      </c>
      <c r="V279" s="1233">
        <f t="shared" si="65"/>
        <v>0</v>
      </c>
      <c r="W279" s="1233">
        <f t="shared" si="65"/>
        <v>0</v>
      </c>
      <c r="X279" s="1233">
        <f t="shared" si="65"/>
        <v>0</v>
      </c>
      <c r="Y279" s="1233">
        <f t="shared" si="65"/>
        <v>0</v>
      </c>
    </row>
    <row r="280" spans="1:25" s="1145" customFormat="1" ht="24">
      <c r="B280" s="1092"/>
      <c r="C280" s="1184" t="s">
        <v>34</v>
      </c>
      <c r="D280" s="1440">
        <v>1</v>
      </c>
      <c r="E280" s="1202" t="s">
        <v>860</v>
      </c>
      <c r="F280" s="1258">
        <f t="shared" si="61"/>
        <v>50000</v>
      </c>
      <c r="G280" s="1258">
        <f t="shared" si="64"/>
        <v>50000</v>
      </c>
      <c r="H280" s="1242">
        <v>50000</v>
      </c>
      <c r="I280" s="1243"/>
      <c r="J280" s="1243"/>
      <c r="K280" s="1243"/>
      <c r="L280" s="1243"/>
      <c r="M280" s="1258"/>
      <c r="N280" s="1242"/>
      <c r="O280" s="1242"/>
      <c r="P280" s="1242"/>
      <c r="Q280" s="1242"/>
      <c r="R280" s="1242"/>
      <c r="S280" s="1242"/>
      <c r="T280" s="1242"/>
      <c r="U280" s="1242"/>
      <c r="V280" s="1242"/>
      <c r="W280" s="1242"/>
      <c r="X280" s="1242"/>
      <c r="Y280" s="1242"/>
    </row>
    <row r="281" spans="1:25" s="1145" customFormat="1" ht="36">
      <c r="B281" s="1092"/>
      <c r="C281" s="1184" t="s">
        <v>34</v>
      </c>
      <c r="D281" s="1440">
        <v>2</v>
      </c>
      <c r="E281" s="1202" t="s">
        <v>859</v>
      </c>
      <c r="F281" s="1258">
        <f t="shared" si="61"/>
        <v>320000</v>
      </c>
      <c r="G281" s="1258">
        <f t="shared" si="64"/>
        <v>320000</v>
      </c>
      <c r="H281" s="1242">
        <v>320000</v>
      </c>
      <c r="I281" s="1243"/>
      <c r="J281" s="1243"/>
      <c r="K281" s="1243"/>
      <c r="L281" s="1243"/>
      <c r="M281" s="1258"/>
      <c r="N281" s="1242"/>
      <c r="O281" s="1242"/>
      <c r="P281" s="1242"/>
      <c r="Q281" s="1242"/>
      <c r="R281" s="1242"/>
      <c r="S281" s="1242"/>
      <c r="T281" s="1242"/>
      <c r="U281" s="1242"/>
      <c r="V281" s="1242"/>
      <c r="W281" s="1242"/>
      <c r="X281" s="1242"/>
      <c r="Y281" s="1242"/>
    </row>
    <row r="282" spans="1:25" s="1145" customFormat="1" ht="24">
      <c r="B282" s="1092"/>
      <c r="C282" s="1184" t="s">
        <v>34</v>
      </c>
      <c r="D282" s="1440">
        <v>3</v>
      </c>
      <c r="E282" s="1202" t="s">
        <v>192</v>
      </c>
      <c r="F282" s="1258">
        <f t="shared" si="61"/>
        <v>15000</v>
      </c>
      <c r="G282" s="1258">
        <f t="shared" si="64"/>
        <v>15000</v>
      </c>
      <c r="H282" s="1242">
        <v>15000</v>
      </c>
      <c r="I282" s="1243"/>
      <c r="J282" s="1243"/>
      <c r="K282" s="1243"/>
      <c r="L282" s="1243"/>
      <c r="M282" s="1258">
        <f t="shared" si="63"/>
        <v>0</v>
      </c>
      <c r="N282" s="1242"/>
      <c r="O282" s="1242"/>
      <c r="P282" s="1242"/>
      <c r="Q282" s="1242"/>
      <c r="R282" s="1242"/>
      <c r="S282" s="1242"/>
      <c r="T282" s="1242"/>
      <c r="U282" s="1242"/>
      <c r="V282" s="1242"/>
      <c r="W282" s="1242"/>
      <c r="X282" s="1242"/>
      <c r="Y282" s="1242"/>
    </row>
    <row r="283" spans="1:25" s="1145" customFormat="1">
      <c r="B283" s="1092"/>
      <c r="C283" s="1184" t="s">
        <v>34</v>
      </c>
      <c r="D283" s="1440">
        <v>4</v>
      </c>
      <c r="E283" s="1203" t="s">
        <v>290</v>
      </c>
      <c r="F283" s="1258">
        <f t="shared" si="61"/>
        <v>30000</v>
      </c>
      <c r="G283" s="1258">
        <f t="shared" si="64"/>
        <v>30000</v>
      </c>
      <c r="H283" s="1242">
        <v>30000</v>
      </c>
      <c r="I283" s="1243"/>
      <c r="J283" s="1243"/>
      <c r="K283" s="1243"/>
      <c r="L283" s="1243"/>
      <c r="M283" s="1258">
        <f t="shared" si="63"/>
        <v>0</v>
      </c>
      <c r="N283" s="1242"/>
      <c r="O283" s="1242"/>
      <c r="P283" s="1242"/>
      <c r="Q283" s="1242"/>
      <c r="R283" s="1242"/>
      <c r="S283" s="1242"/>
      <c r="T283" s="1242"/>
      <c r="U283" s="1242"/>
      <c r="V283" s="1242"/>
      <c r="W283" s="1242"/>
      <c r="X283" s="1242"/>
      <c r="Y283" s="1242"/>
    </row>
    <row r="284" spans="1:25" s="1145" customFormat="1">
      <c r="B284" s="1092"/>
      <c r="C284" s="1184" t="s">
        <v>34</v>
      </c>
      <c r="D284" s="1440">
        <v>5</v>
      </c>
      <c r="E284" s="1203" t="s">
        <v>291</v>
      </c>
      <c r="F284" s="1258">
        <f t="shared" si="61"/>
        <v>15000</v>
      </c>
      <c r="G284" s="1258">
        <f t="shared" si="64"/>
        <v>15000</v>
      </c>
      <c r="H284" s="1242">
        <v>15000</v>
      </c>
      <c r="I284" s="1243"/>
      <c r="J284" s="1243"/>
      <c r="K284" s="1243"/>
      <c r="L284" s="1243"/>
      <c r="M284" s="1258">
        <f t="shared" si="63"/>
        <v>0</v>
      </c>
      <c r="N284" s="1242"/>
      <c r="O284" s="1242"/>
      <c r="P284" s="1242"/>
      <c r="Q284" s="1242"/>
      <c r="R284" s="1242"/>
      <c r="S284" s="1242"/>
      <c r="T284" s="1242"/>
      <c r="U284" s="1242"/>
      <c r="V284" s="1242"/>
      <c r="W284" s="1242"/>
      <c r="X284" s="1242"/>
      <c r="Y284" s="1242"/>
    </row>
    <row r="285" spans="1:25" s="1148" customFormat="1" ht="36">
      <c r="A285" s="1148">
        <v>17</v>
      </c>
      <c r="B285" s="1171">
        <v>17</v>
      </c>
      <c r="C285" s="1172" t="s">
        <v>34</v>
      </c>
      <c r="D285" s="1438"/>
      <c r="E285" s="1305" t="s">
        <v>193</v>
      </c>
      <c r="F285" s="1249">
        <f t="shared" si="61"/>
        <v>349760</v>
      </c>
      <c r="G285" s="1249">
        <f t="shared" si="64"/>
        <v>160000</v>
      </c>
      <c r="H285" s="1233">
        <f>SUM(H286:H291)</f>
        <v>160000</v>
      </c>
      <c r="I285" s="1234">
        <f>SUM(I286:I291)</f>
        <v>0</v>
      </c>
      <c r="J285" s="1234">
        <f>SUM(J286:J291)</f>
        <v>0</v>
      </c>
      <c r="K285" s="1234">
        <f>SUM(K286:K291)</f>
        <v>0</v>
      </c>
      <c r="L285" s="1234">
        <f>SUM(L286:L291)</f>
        <v>0</v>
      </c>
      <c r="M285" s="1249">
        <f t="shared" si="63"/>
        <v>189760</v>
      </c>
      <c r="N285" s="1233">
        <f t="shared" ref="N285:Y285" si="66">SUM(N286:N291)</f>
        <v>17180</v>
      </c>
      <c r="O285" s="1233">
        <f t="shared" si="66"/>
        <v>17000</v>
      </c>
      <c r="P285" s="1233">
        <f t="shared" si="66"/>
        <v>10394</v>
      </c>
      <c r="Q285" s="1233">
        <f t="shared" si="66"/>
        <v>38400</v>
      </c>
      <c r="R285" s="1233">
        <f t="shared" si="66"/>
        <v>15001</v>
      </c>
      <c r="S285" s="1233">
        <f t="shared" si="66"/>
        <v>14840</v>
      </c>
      <c r="T285" s="1233">
        <f t="shared" si="66"/>
        <v>28960</v>
      </c>
      <c r="U285" s="1233">
        <f t="shared" si="66"/>
        <v>11680</v>
      </c>
      <c r="V285" s="1233">
        <f t="shared" si="66"/>
        <v>8115</v>
      </c>
      <c r="W285" s="1233">
        <f t="shared" si="66"/>
        <v>12990</v>
      </c>
      <c r="X285" s="1233">
        <f t="shared" si="66"/>
        <v>9260</v>
      </c>
      <c r="Y285" s="1233">
        <f t="shared" si="66"/>
        <v>5940</v>
      </c>
    </row>
    <row r="286" spans="1:25" s="1145" customFormat="1" ht="60">
      <c r="B286" s="1092"/>
      <c r="C286" s="1184" t="s">
        <v>34</v>
      </c>
      <c r="D286" s="1440">
        <v>1</v>
      </c>
      <c r="E286" s="1202" t="s">
        <v>341</v>
      </c>
      <c r="F286" s="1258">
        <f t="shared" si="61"/>
        <v>186669</v>
      </c>
      <c r="G286" s="1258">
        <f t="shared" si="64"/>
        <v>100000</v>
      </c>
      <c r="H286" s="1242">
        <v>100000</v>
      </c>
      <c r="I286" s="1243"/>
      <c r="J286" s="1243"/>
      <c r="K286" s="1243"/>
      <c r="L286" s="1243"/>
      <c r="M286" s="1258">
        <f t="shared" si="63"/>
        <v>86669</v>
      </c>
      <c r="N286" s="1240">
        <v>10160</v>
      </c>
      <c r="O286" s="1240">
        <v>5000</v>
      </c>
      <c r="P286" s="1240">
        <v>10394</v>
      </c>
      <c r="Q286" s="1240">
        <f>2400+24000</f>
        <v>26400</v>
      </c>
      <c r="R286" s="1240">
        <v>0</v>
      </c>
      <c r="S286" s="1240">
        <v>14840</v>
      </c>
      <c r="T286" s="1240"/>
      <c r="U286" s="1240"/>
      <c r="V286" s="1240">
        <v>8115</v>
      </c>
      <c r="W286" s="1240">
        <v>5040</v>
      </c>
      <c r="X286" s="1240">
        <f>1040+1120+1440</f>
        <v>3600</v>
      </c>
      <c r="Y286" s="1240">
        <v>3120</v>
      </c>
    </row>
    <row r="287" spans="1:25" s="1145" customFormat="1" ht="48">
      <c r="B287" s="1092"/>
      <c r="C287" s="1184" t="s">
        <v>34</v>
      </c>
      <c r="D287" s="1440">
        <v>2</v>
      </c>
      <c r="E287" s="1202" t="s">
        <v>342</v>
      </c>
      <c r="F287" s="1258">
        <f t="shared" si="61"/>
        <v>126941</v>
      </c>
      <c r="G287" s="1258">
        <f t="shared" si="64"/>
        <v>60000</v>
      </c>
      <c r="H287" s="1242">
        <v>60000</v>
      </c>
      <c r="I287" s="1243"/>
      <c r="J287" s="1243"/>
      <c r="K287" s="1243"/>
      <c r="L287" s="1243"/>
      <c r="M287" s="1258">
        <f t="shared" si="63"/>
        <v>66941</v>
      </c>
      <c r="N287" s="1240">
        <v>7020</v>
      </c>
      <c r="O287" s="1240">
        <v>12000</v>
      </c>
      <c r="P287" s="1240"/>
      <c r="Q287" s="1240">
        <v>12000</v>
      </c>
      <c r="R287" s="1240">
        <v>2961</v>
      </c>
      <c r="S287" s="1240"/>
      <c r="T287" s="1240">
        <v>4850</v>
      </c>
      <c r="U287" s="1240">
        <v>11680</v>
      </c>
      <c r="V287" s="1240">
        <v>0</v>
      </c>
      <c r="W287" s="1240">
        <v>7950</v>
      </c>
      <c r="X287" s="1240">
        <f>2800+2860</f>
        <v>5660</v>
      </c>
      <c r="Y287" s="1240">
        <v>2820</v>
      </c>
    </row>
    <row r="288" spans="1:25" s="1145" customFormat="1" ht="36">
      <c r="B288" s="1092"/>
      <c r="C288" s="1184" t="s">
        <v>34</v>
      </c>
      <c r="D288" s="1440">
        <v>3</v>
      </c>
      <c r="E288" s="1307" t="s">
        <v>343</v>
      </c>
      <c r="F288" s="1258">
        <f t="shared" si="61"/>
        <v>6600</v>
      </c>
      <c r="G288" s="1258">
        <f t="shared" si="64"/>
        <v>0</v>
      </c>
      <c r="H288" s="1242"/>
      <c r="I288" s="1243"/>
      <c r="J288" s="1243"/>
      <c r="K288" s="1243"/>
      <c r="L288" s="1243"/>
      <c r="M288" s="1258">
        <f t="shared" si="63"/>
        <v>6600</v>
      </c>
      <c r="N288" s="1240"/>
      <c r="O288" s="1240"/>
      <c r="P288" s="1240"/>
      <c r="Q288" s="1240"/>
      <c r="R288" s="1255">
        <v>6600</v>
      </c>
      <c r="S288" s="1240"/>
      <c r="T288" s="1240"/>
      <c r="U288" s="1240"/>
      <c r="V288" s="1240"/>
      <c r="W288" s="1240"/>
      <c r="X288" s="1240"/>
      <c r="Y288" s="1240"/>
    </row>
    <row r="289" spans="1:25" s="1145" customFormat="1" ht="24">
      <c r="B289" s="1092"/>
      <c r="C289" s="1184" t="s">
        <v>34</v>
      </c>
      <c r="D289" s="1440">
        <v>4</v>
      </c>
      <c r="E289" s="1208" t="s">
        <v>208</v>
      </c>
      <c r="F289" s="1258">
        <f t="shared" si="61"/>
        <v>24110</v>
      </c>
      <c r="G289" s="1258">
        <f t="shared" si="64"/>
        <v>0</v>
      </c>
      <c r="H289" s="1242"/>
      <c r="I289" s="1243"/>
      <c r="J289" s="1243"/>
      <c r="K289" s="1243"/>
      <c r="L289" s="1243"/>
      <c r="M289" s="1258">
        <f t="shared" si="63"/>
        <v>24110</v>
      </c>
      <c r="N289" s="1240"/>
      <c r="O289" s="1240"/>
      <c r="P289" s="1240"/>
      <c r="Q289" s="1240"/>
      <c r="R289" s="1240"/>
      <c r="S289" s="1240"/>
      <c r="T289" s="1240">
        <v>24110</v>
      </c>
      <c r="U289" s="1240"/>
      <c r="V289" s="1240"/>
      <c r="W289" s="1240"/>
      <c r="X289" s="1240"/>
      <c r="Y289" s="1240">
        <v>0</v>
      </c>
    </row>
    <row r="290" spans="1:25" s="1145" customFormat="1">
      <c r="B290" s="1092"/>
      <c r="C290" s="1184" t="s">
        <v>34</v>
      </c>
      <c r="D290" s="1440">
        <v>5</v>
      </c>
      <c r="E290" s="1211" t="s">
        <v>720</v>
      </c>
      <c r="F290" s="1258">
        <f t="shared" si="61"/>
        <v>2560</v>
      </c>
      <c r="G290" s="1258">
        <f t="shared" si="64"/>
        <v>0</v>
      </c>
      <c r="H290" s="1242"/>
      <c r="I290" s="1243"/>
      <c r="J290" s="1243"/>
      <c r="K290" s="1243"/>
      <c r="L290" s="1243"/>
      <c r="M290" s="1258">
        <f t="shared" si="63"/>
        <v>2560</v>
      </c>
      <c r="N290" s="1240"/>
      <c r="O290" s="1240"/>
      <c r="P290" s="1240"/>
      <c r="Q290" s="1240"/>
      <c r="R290" s="1255">
        <v>2560</v>
      </c>
      <c r="S290" s="1240"/>
      <c r="T290" s="1240"/>
      <c r="U290" s="1240"/>
      <c r="V290" s="1240"/>
      <c r="W290" s="1240"/>
      <c r="X290" s="1240"/>
      <c r="Y290" s="1240"/>
    </row>
    <row r="291" spans="1:25" s="1145" customFormat="1" ht="36">
      <c r="B291" s="1092"/>
      <c r="C291" s="1184" t="s">
        <v>34</v>
      </c>
      <c r="D291" s="1440">
        <v>6</v>
      </c>
      <c r="E291" s="1306" t="s">
        <v>722</v>
      </c>
      <c r="F291" s="1258">
        <f t="shared" si="61"/>
        <v>2880</v>
      </c>
      <c r="G291" s="1258">
        <f t="shared" si="64"/>
        <v>0</v>
      </c>
      <c r="H291" s="1242"/>
      <c r="I291" s="1243"/>
      <c r="J291" s="1243"/>
      <c r="K291" s="1243"/>
      <c r="L291" s="1243"/>
      <c r="M291" s="1258">
        <f t="shared" si="63"/>
        <v>2880</v>
      </c>
      <c r="N291" s="1240"/>
      <c r="O291" s="1240"/>
      <c r="P291" s="1240"/>
      <c r="Q291" s="1240"/>
      <c r="R291" s="1240">
        <v>2880</v>
      </c>
      <c r="S291" s="1240"/>
      <c r="T291" s="1240"/>
      <c r="U291" s="1240"/>
      <c r="V291" s="1240"/>
      <c r="W291" s="1240"/>
      <c r="X291" s="1240"/>
      <c r="Y291" s="1240"/>
    </row>
    <row r="292" spans="1:25" s="1148" customFormat="1">
      <c r="A292" s="1148">
        <v>18</v>
      </c>
      <c r="B292" s="1171">
        <v>18</v>
      </c>
      <c r="C292" s="1172" t="s">
        <v>34</v>
      </c>
      <c r="D292" s="1438"/>
      <c r="E292" s="1308" t="s">
        <v>33</v>
      </c>
      <c r="F292" s="1249">
        <f t="shared" si="61"/>
        <v>750692</v>
      </c>
      <c r="G292" s="1249">
        <f t="shared" si="64"/>
        <v>250000</v>
      </c>
      <c r="H292" s="1233">
        <f>SUM(H293:H299)</f>
        <v>250000</v>
      </c>
      <c r="I292" s="1234">
        <f>SUM(I293:I299)</f>
        <v>0</v>
      </c>
      <c r="J292" s="1234">
        <f>SUM(J293:J299)</f>
        <v>0</v>
      </c>
      <c r="K292" s="1234">
        <f>SUM(K293:K299)</f>
        <v>0</v>
      </c>
      <c r="L292" s="1234">
        <f>SUM(L293:L299)</f>
        <v>0</v>
      </c>
      <c r="M292" s="1249">
        <f t="shared" si="63"/>
        <v>500692</v>
      </c>
      <c r="N292" s="1233">
        <f t="shared" ref="N292:Y292" si="67">SUM(N293:N299)</f>
        <v>10800</v>
      </c>
      <c r="O292" s="1233">
        <f t="shared" si="67"/>
        <v>47100</v>
      </c>
      <c r="P292" s="1233">
        <f t="shared" si="67"/>
        <v>42090</v>
      </c>
      <c r="Q292" s="1233">
        <f t="shared" si="67"/>
        <v>77290</v>
      </c>
      <c r="R292" s="1233">
        <f t="shared" si="67"/>
        <v>57156</v>
      </c>
      <c r="S292" s="1233">
        <f t="shared" si="67"/>
        <v>10920</v>
      </c>
      <c r="T292" s="1233">
        <f t="shared" si="67"/>
        <v>37660</v>
      </c>
      <c r="U292" s="1233">
        <f t="shared" si="67"/>
        <v>32040</v>
      </c>
      <c r="V292" s="1233">
        <f t="shared" si="67"/>
        <v>47166</v>
      </c>
      <c r="W292" s="1233">
        <f t="shared" si="67"/>
        <v>38170</v>
      </c>
      <c r="X292" s="1233">
        <f t="shared" si="67"/>
        <v>73050</v>
      </c>
      <c r="Y292" s="1233">
        <f t="shared" si="67"/>
        <v>27250</v>
      </c>
    </row>
    <row r="293" spans="1:25" s="1145" customFormat="1" ht="24">
      <c r="B293" s="1092"/>
      <c r="C293" s="1184" t="s">
        <v>34</v>
      </c>
      <c r="D293" s="1440">
        <v>1</v>
      </c>
      <c r="E293" s="1105" t="s">
        <v>338</v>
      </c>
      <c r="F293" s="1258">
        <f t="shared" si="61"/>
        <v>206046</v>
      </c>
      <c r="G293" s="1258">
        <f t="shared" si="64"/>
        <v>70000</v>
      </c>
      <c r="H293" s="1242">
        <v>70000</v>
      </c>
      <c r="I293" s="1243"/>
      <c r="J293" s="1243"/>
      <c r="K293" s="1243"/>
      <c r="L293" s="1243"/>
      <c r="M293" s="1258">
        <f t="shared" si="63"/>
        <v>136046</v>
      </c>
      <c r="N293" s="1240">
        <v>10800</v>
      </c>
      <c r="O293" s="1240">
        <v>17500</v>
      </c>
      <c r="P293" s="1240">
        <v>25690</v>
      </c>
      <c r="Q293" s="1240">
        <v>32450</v>
      </c>
      <c r="R293" s="1240">
        <v>4176</v>
      </c>
      <c r="S293" s="1240"/>
      <c r="T293" s="1240">
        <v>5560</v>
      </c>
      <c r="U293" s="1240">
        <v>2660</v>
      </c>
      <c r="V293" s="1240">
        <v>9500</v>
      </c>
      <c r="W293" s="1240">
        <f>3350+14060</f>
        <v>17410</v>
      </c>
      <c r="X293" s="1240">
        <f>2550</f>
        <v>2550</v>
      </c>
      <c r="Y293" s="1240">
        <v>7750</v>
      </c>
    </row>
    <row r="294" spans="1:25" s="1145" customFormat="1" ht="48">
      <c r="B294" s="1092"/>
      <c r="C294" s="1184" t="s">
        <v>34</v>
      </c>
      <c r="D294" s="1440">
        <v>2</v>
      </c>
      <c r="E294" s="1096" t="s">
        <v>339</v>
      </c>
      <c r="F294" s="1258">
        <f t="shared" si="61"/>
        <v>215280</v>
      </c>
      <c r="G294" s="1258">
        <f t="shared" si="64"/>
        <v>180000</v>
      </c>
      <c r="H294" s="1242">
        <v>180000</v>
      </c>
      <c r="I294" s="1243"/>
      <c r="J294" s="1243"/>
      <c r="K294" s="1243"/>
      <c r="L294" s="1243"/>
      <c r="M294" s="1258">
        <f t="shared" si="63"/>
        <v>35280</v>
      </c>
      <c r="N294" s="1240"/>
      <c r="O294" s="1240">
        <v>5000</v>
      </c>
      <c r="P294" s="1240"/>
      <c r="Q294" s="1240">
        <v>1040</v>
      </c>
      <c r="R294" s="1240">
        <v>0</v>
      </c>
      <c r="S294" s="1240">
        <v>10600</v>
      </c>
      <c r="T294" s="1240">
        <v>4500</v>
      </c>
      <c r="U294" s="1240">
        <v>1860</v>
      </c>
      <c r="V294" s="1240">
        <v>5340</v>
      </c>
      <c r="W294" s="1240">
        <v>5040</v>
      </c>
      <c r="X294" s="1240"/>
      <c r="Y294" s="1240">
        <v>1900</v>
      </c>
    </row>
    <row r="295" spans="1:25" s="1145" customFormat="1">
      <c r="B295" s="1092"/>
      <c r="C295" s="1184" t="s">
        <v>34</v>
      </c>
      <c r="D295" s="1440">
        <v>3</v>
      </c>
      <c r="E295" s="1309" t="s">
        <v>362</v>
      </c>
      <c r="F295" s="1258">
        <f t="shared" si="61"/>
        <v>133506</v>
      </c>
      <c r="G295" s="1258">
        <f t="shared" si="64"/>
        <v>0</v>
      </c>
      <c r="H295" s="1242"/>
      <c r="I295" s="1243"/>
      <c r="J295" s="1243"/>
      <c r="K295" s="1243"/>
      <c r="L295" s="1243"/>
      <c r="M295" s="1258">
        <f t="shared" si="63"/>
        <v>133506</v>
      </c>
      <c r="N295" s="1240"/>
      <c r="O295" s="1240">
        <v>5000</v>
      </c>
      <c r="P295" s="1240">
        <v>16400</v>
      </c>
      <c r="Q295" s="1240">
        <f>4800+39000</f>
        <v>43800</v>
      </c>
      <c r="R295" s="1255">
        <v>3140</v>
      </c>
      <c r="S295" s="1240"/>
      <c r="T295" s="1240"/>
      <c r="U295" s="1240">
        <v>16000</v>
      </c>
      <c r="V295" s="1240">
        <v>32326</v>
      </c>
      <c r="W295" s="1240">
        <f>6720+9000</f>
        <v>15720</v>
      </c>
      <c r="X295" s="1240"/>
      <c r="Y295" s="1240">
        <v>1120</v>
      </c>
    </row>
    <row r="296" spans="1:25" s="1145" customFormat="1" ht="24">
      <c r="B296" s="1092"/>
      <c r="C296" s="1184" t="s">
        <v>34</v>
      </c>
      <c r="D296" s="1440">
        <v>4</v>
      </c>
      <c r="E296" s="1185" t="s">
        <v>363</v>
      </c>
      <c r="F296" s="1258">
        <f t="shared" si="61"/>
        <v>146020</v>
      </c>
      <c r="G296" s="1258">
        <f t="shared" si="64"/>
        <v>0</v>
      </c>
      <c r="H296" s="1242"/>
      <c r="I296" s="1243"/>
      <c r="J296" s="1243"/>
      <c r="K296" s="1243"/>
      <c r="L296" s="1243"/>
      <c r="M296" s="1258">
        <f t="shared" si="63"/>
        <v>146020</v>
      </c>
      <c r="N296" s="1240"/>
      <c r="O296" s="1240">
        <v>19600</v>
      </c>
      <c r="P296" s="1240"/>
      <c r="Q296" s="1240"/>
      <c r="R296" s="1240">
        <v>0</v>
      </c>
      <c r="S296" s="1240">
        <v>320</v>
      </c>
      <c r="T296" s="1240">
        <f>7600+20000</f>
        <v>27600</v>
      </c>
      <c r="U296" s="1240">
        <v>11520</v>
      </c>
      <c r="V296" s="1240">
        <v>0</v>
      </c>
      <c r="W296" s="1240"/>
      <c r="X296" s="1240">
        <f>70500</f>
        <v>70500</v>
      </c>
      <c r="Y296" s="1240">
        <v>16480</v>
      </c>
    </row>
    <row r="297" spans="1:25" s="1145" customFormat="1">
      <c r="B297" s="1092"/>
      <c r="C297" s="1184" t="s">
        <v>34</v>
      </c>
      <c r="D297" s="1440">
        <v>5</v>
      </c>
      <c r="E297" s="1106" t="s">
        <v>358</v>
      </c>
      <c r="F297" s="1258">
        <f t="shared" si="61"/>
        <v>36480</v>
      </c>
      <c r="G297" s="1258">
        <f t="shared" si="64"/>
        <v>0</v>
      </c>
      <c r="H297" s="1242"/>
      <c r="I297" s="1243"/>
      <c r="J297" s="1243"/>
      <c r="K297" s="1243"/>
      <c r="L297" s="1243"/>
      <c r="M297" s="1258">
        <f t="shared" si="63"/>
        <v>36480</v>
      </c>
      <c r="N297" s="1240"/>
      <c r="O297" s="1240"/>
      <c r="P297" s="1240"/>
      <c r="Q297" s="1240"/>
      <c r="R297" s="1255">
        <v>36480</v>
      </c>
      <c r="S297" s="1240"/>
      <c r="T297" s="1240"/>
      <c r="U297" s="1240"/>
      <c r="V297" s="1238"/>
      <c r="W297" s="1240"/>
      <c r="X297" s="1240"/>
      <c r="Y297" s="1240"/>
    </row>
    <row r="298" spans="1:25" s="1145" customFormat="1">
      <c r="B298" s="1092"/>
      <c r="C298" s="1184" t="s">
        <v>34</v>
      </c>
      <c r="D298" s="1440">
        <v>6</v>
      </c>
      <c r="E298" s="1310" t="s">
        <v>853</v>
      </c>
      <c r="F298" s="1258">
        <f t="shared" si="61"/>
        <v>2560</v>
      </c>
      <c r="G298" s="1258">
        <f t="shared" si="64"/>
        <v>0</v>
      </c>
      <c r="H298" s="1242"/>
      <c r="I298" s="1243"/>
      <c r="J298" s="1243"/>
      <c r="K298" s="1243"/>
      <c r="L298" s="1243"/>
      <c r="M298" s="1258">
        <f t="shared" si="63"/>
        <v>2560</v>
      </c>
      <c r="N298" s="1240"/>
      <c r="O298" s="1240"/>
      <c r="P298" s="1240"/>
      <c r="Q298" s="1240"/>
      <c r="R298" s="1255">
        <v>2560</v>
      </c>
      <c r="S298" s="1240"/>
      <c r="T298" s="1240"/>
      <c r="U298" s="1240"/>
      <c r="V298" s="1238"/>
      <c r="W298" s="1240"/>
      <c r="X298" s="1240"/>
      <c r="Y298" s="1240"/>
    </row>
    <row r="299" spans="1:25" s="1145" customFormat="1">
      <c r="B299" s="1092"/>
      <c r="C299" s="1184" t="s">
        <v>34</v>
      </c>
      <c r="D299" s="1440">
        <v>7</v>
      </c>
      <c r="E299" s="1311" t="s">
        <v>364</v>
      </c>
      <c r="F299" s="1258">
        <f t="shared" si="61"/>
        <v>10800</v>
      </c>
      <c r="G299" s="1258">
        <f t="shared" si="64"/>
        <v>0</v>
      </c>
      <c r="H299" s="1242"/>
      <c r="I299" s="1243"/>
      <c r="J299" s="1243"/>
      <c r="K299" s="1243"/>
      <c r="L299" s="1243"/>
      <c r="M299" s="1258">
        <f t="shared" si="63"/>
        <v>10800</v>
      </c>
      <c r="N299" s="1240"/>
      <c r="O299" s="1240"/>
      <c r="P299" s="1240"/>
      <c r="Q299" s="1240"/>
      <c r="R299" s="1255">
        <v>10800</v>
      </c>
      <c r="S299" s="1240"/>
      <c r="T299" s="1240"/>
      <c r="U299" s="1240"/>
      <c r="V299" s="1238"/>
      <c r="W299" s="1240"/>
      <c r="X299" s="1240"/>
      <c r="Y299" s="1240"/>
    </row>
    <row r="300" spans="1:25" s="1148" customFormat="1" ht="24">
      <c r="A300" s="1148">
        <v>19</v>
      </c>
      <c r="B300" s="1171">
        <v>19</v>
      </c>
      <c r="C300" s="1172"/>
      <c r="D300" s="1438"/>
      <c r="E300" s="1308" t="s">
        <v>241</v>
      </c>
      <c r="F300" s="1249">
        <f t="shared" si="61"/>
        <v>3958187</v>
      </c>
      <c r="G300" s="1249">
        <f t="shared" si="64"/>
        <v>2456525</v>
      </c>
      <c r="H300" s="1233">
        <f>H301+H314+H316+H320</f>
        <v>1533125</v>
      </c>
      <c r="I300" s="1233">
        <f>I301+I314+I316+I320</f>
        <v>278900</v>
      </c>
      <c r="J300" s="1233">
        <f>J301+J314+J316+J320</f>
        <v>574500</v>
      </c>
      <c r="K300" s="1233">
        <f>K301+K314+K316+K320</f>
        <v>70000</v>
      </c>
      <c r="L300" s="1233">
        <f>L301+L314+L316+L320</f>
        <v>0</v>
      </c>
      <c r="M300" s="1249">
        <f t="shared" si="63"/>
        <v>1501662</v>
      </c>
      <c r="N300" s="1233">
        <f t="shared" ref="N300:Y300" si="68">N301+N314+N316+N320</f>
        <v>285970</v>
      </c>
      <c r="O300" s="1233">
        <f t="shared" si="68"/>
        <v>50400</v>
      </c>
      <c r="P300" s="1233">
        <f t="shared" si="68"/>
        <v>105040</v>
      </c>
      <c r="Q300" s="1233">
        <f t="shared" si="68"/>
        <v>23900</v>
      </c>
      <c r="R300" s="1233">
        <f t="shared" si="68"/>
        <v>126974</v>
      </c>
      <c r="S300" s="1233">
        <f t="shared" si="68"/>
        <v>136148</v>
      </c>
      <c r="T300" s="1233">
        <f t="shared" si="68"/>
        <v>72867</v>
      </c>
      <c r="U300" s="1233">
        <f t="shared" si="68"/>
        <v>264998</v>
      </c>
      <c r="V300" s="1233">
        <f t="shared" si="68"/>
        <v>165880</v>
      </c>
      <c r="W300" s="1233">
        <f t="shared" si="68"/>
        <v>53755</v>
      </c>
      <c r="X300" s="1233">
        <f t="shared" si="68"/>
        <v>65030</v>
      </c>
      <c r="Y300" s="1233">
        <f t="shared" si="68"/>
        <v>150700</v>
      </c>
    </row>
    <row r="301" spans="1:25" s="1213" customFormat="1" ht="36">
      <c r="A301" s="1213" t="s">
        <v>806</v>
      </c>
      <c r="B301" s="1094" t="s">
        <v>268</v>
      </c>
      <c r="C301" s="1188" t="s">
        <v>34</v>
      </c>
      <c r="D301" s="1441"/>
      <c r="E301" s="1290" t="s">
        <v>262</v>
      </c>
      <c r="F301" s="1235">
        <f t="shared" si="61"/>
        <v>2499352</v>
      </c>
      <c r="G301" s="1235">
        <f t="shared" si="64"/>
        <v>1533125</v>
      </c>
      <c r="H301" s="1236">
        <f>SUM(H302:H313)</f>
        <v>1533125</v>
      </c>
      <c r="I301" s="1237">
        <f>SUM(I302:I313)</f>
        <v>0</v>
      </c>
      <c r="J301" s="1237">
        <f>SUM(J302:J313)</f>
        <v>0</v>
      </c>
      <c r="K301" s="1237">
        <f>SUM(K302:K313)</f>
        <v>0</v>
      </c>
      <c r="L301" s="1237">
        <f>SUM(L302:L313)</f>
        <v>0</v>
      </c>
      <c r="M301" s="1235">
        <f t="shared" si="63"/>
        <v>966227</v>
      </c>
      <c r="N301" s="1236">
        <f t="shared" ref="N301:Y301" si="69">SUM(N302:N313)</f>
        <v>102090</v>
      </c>
      <c r="O301" s="1236">
        <f t="shared" si="69"/>
        <v>8000</v>
      </c>
      <c r="P301" s="1236">
        <f t="shared" si="69"/>
        <v>93040</v>
      </c>
      <c r="Q301" s="1236">
        <f t="shared" si="69"/>
        <v>12900</v>
      </c>
      <c r="R301" s="1236">
        <f t="shared" si="69"/>
        <v>74894</v>
      </c>
      <c r="S301" s="1236">
        <f t="shared" si="69"/>
        <v>116948</v>
      </c>
      <c r="T301" s="1236">
        <f t="shared" si="69"/>
        <v>28352</v>
      </c>
      <c r="U301" s="1236">
        <f t="shared" si="69"/>
        <v>239278</v>
      </c>
      <c r="V301" s="1236">
        <f t="shared" si="69"/>
        <v>123360</v>
      </c>
      <c r="W301" s="1236">
        <f t="shared" si="69"/>
        <v>43755</v>
      </c>
      <c r="X301" s="1236">
        <f t="shared" si="69"/>
        <v>33110</v>
      </c>
      <c r="Y301" s="1236">
        <f t="shared" si="69"/>
        <v>90500</v>
      </c>
    </row>
    <row r="302" spans="1:25" s="1214" customFormat="1" ht="60">
      <c r="B302" s="1092"/>
      <c r="C302" s="1184" t="s">
        <v>34</v>
      </c>
      <c r="D302" s="1440">
        <v>1</v>
      </c>
      <c r="E302" s="1105" t="s">
        <v>139</v>
      </c>
      <c r="F302" s="1258">
        <f t="shared" si="61"/>
        <v>418700</v>
      </c>
      <c r="G302" s="1258">
        <f t="shared" si="64"/>
        <v>311000</v>
      </c>
      <c r="H302" s="1238">
        <f>71000+50000+100000+36000+80000-26000</f>
        <v>311000</v>
      </c>
      <c r="I302" s="1239"/>
      <c r="J302" s="1239"/>
      <c r="K302" s="1239"/>
      <c r="L302" s="1239"/>
      <c r="M302" s="1258">
        <f t="shared" si="63"/>
        <v>107700</v>
      </c>
      <c r="N302" s="1238"/>
      <c r="O302" s="1238">
        <v>1800</v>
      </c>
      <c r="P302" s="1238">
        <v>2000</v>
      </c>
      <c r="Q302" s="1238"/>
      <c r="R302" s="1238">
        <v>22320</v>
      </c>
      <c r="S302" s="1238"/>
      <c r="T302" s="1238">
        <v>3420</v>
      </c>
      <c r="U302" s="1238">
        <v>3000</v>
      </c>
      <c r="V302" s="1238">
        <v>36000</v>
      </c>
      <c r="W302" s="1238">
        <v>3800</v>
      </c>
      <c r="X302" s="1238">
        <v>12960</v>
      </c>
      <c r="Y302" s="1238">
        <v>22400</v>
      </c>
    </row>
    <row r="303" spans="1:25" s="1214" customFormat="1" ht="60">
      <c r="B303" s="1092"/>
      <c r="C303" s="1184" t="s">
        <v>34</v>
      </c>
      <c r="D303" s="1440">
        <v>2</v>
      </c>
      <c r="E303" s="1105" t="s">
        <v>413</v>
      </c>
      <c r="F303" s="1258">
        <f t="shared" si="61"/>
        <v>1199380</v>
      </c>
      <c r="G303" s="1258">
        <f t="shared" si="64"/>
        <v>726000</v>
      </c>
      <c r="H303" s="1242">
        <f>424000+150000+10000+116000+30000-4000</f>
        <v>726000</v>
      </c>
      <c r="I303" s="1243"/>
      <c r="J303" s="1243"/>
      <c r="K303" s="1243"/>
      <c r="L303" s="1243"/>
      <c r="M303" s="1258">
        <f t="shared" si="63"/>
        <v>473380</v>
      </c>
      <c r="N303" s="1242"/>
      <c r="O303" s="1242">
        <v>1200</v>
      </c>
      <c r="P303" s="1242">
        <v>63000</v>
      </c>
      <c r="Q303" s="1242"/>
      <c r="R303" s="1242">
        <v>22170</v>
      </c>
      <c r="S303" s="1238">
        <v>108348</v>
      </c>
      <c r="T303" s="1242">
        <v>13192</v>
      </c>
      <c r="U303" s="1242">
        <v>163670</v>
      </c>
      <c r="V303" s="1242">
        <v>40000</v>
      </c>
      <c r="W303" s="1242">
        <v>3800</v>
      </c>
      <c r="X303" s="1242">
        <v>14000</v>
      </c>
      <c r="Y303" s="1242">
        <v>44000</v>
      </c>
    </row>
    <row r="304" spans="1:25" s="1214" customFormat="1" ht="192">
      <c r="B304" s="1092"/>
      <c r="C304" s="1184" t="s">
        <v>34</v>
      </c>
      <c r="D304" s="1440">
        <v>3</v>
      </c>
      <c r="E304" s="1156" t="s">
        <v>414</v>
      </c>
      <c r="F304" s="1258">
        <f t="shared" si="61"/>
        <v>8800</v>
      </c>
      <c r="G304" s="1258">
        <f t="shared" si="64"/>
        <v>8800</v>
      </c>
      <c r="H304" s="1242">
        <v>8800</v>
      </c>
      <c r="I304" s="1243"/>
      <c r="J304" s="1243"/>
      <c r="K304" s="1243"/>
      <c r="L304" s="1243"/>
      <c r="M304" s="1258">
        <f t="shared" si="63"/>
        <v>0</v>
      </c>
      <c r="N304" s="1242"/>
      <c r="O304" s="1242"/>
      <c r="P304" s="1242"/>
      <c r="Q304" s="1242"/>
      <c r="R304" s="1242"/>
      <c r="S304" s="1242"/>
      <c r="T304" s="1242"/>
      <c r="U304" s="1242"/>
      <c r="V304" s="1242"/>
      <c r="W304" s="1242"/>
      <c r="X304" s="1242"/>
      <c r="Y304" s="1242"/>
    </row>
    <row r="305" spans="1:25" s="1214" customFormat="1" ht="60">
      <c r="B305" s="1092"/>
      <c r="C305" s="1184" t="s">
        <v>34</v>
      </c>
      <c r="D305" s="1440">
        <v>4</v>
      </c>
      <c r="E305" s="1156" t="s">
        <v>415</v>
      </c>
      <c r="F305" s="1258">
        <f t="shared" si="61"/>
        <v>58960</v>
      </c>
      <c r="G305" s="1258">
        <f t="shared" si="64"/>
        <v>50805</v>
      </c>
      <c r="H305" s="1242">
        <v>50805</v>
      </c>
      <c r="I305" s="1243"/>
      <c r="J305" s="1243"/>
      <c r="K305" s="1243"/>
      <c r="L305" s="1243"/>
      <c r="M305" s="1258">
        <f t="shared" si="63"/>
        <v>8155</v>
      </c>
      <c r="N305" s="1242"/>
      <c r="O305" s="1242"/>
      <c r="P305" s="1242"/>
      <c r="Q305" s="1242"/>
      <c r="R305" s="1242"/>
      <c r="S305" s="1242"/>
      <c r="T305" s="1242"/>
      <c r="U305" s="1242"/>
      <c r="V305" s="1242"/>
      <c r="W305" s="1242">
        <v>8155</v>
      </c>
      <c r="X305" s="1242"/>
      <c r="Y305" s="1242"/>
    </row>
    <row r="306" spans="1:25" s="1214" customFormat="1" ht="48">
      <c r="B306" s="1092"/>
      <c r="C306" s="1184" t="s">
        <v>34</v>
      </c>
      <c r="D306" s="1440">
        <v>5</v>
      </c>
      <c r="E306" s="1156" t="s">
        <v>416</v>
      </c>
      <c r="F306" s="1258">
        <f t="shared" si="61"/>
        <v>201242</v>
      </c>
      <c r="G306" s="1258">
        <f t="shared" si="64"/>
        <v>0</v>
      </c>
      <c r="H306" s="1242"/>
      <c r="I306" s="1243"/>
      <c r="J306" s="1243"/>
      <c r="K306" s="1243"/>
      <c r="L306" s="1243"/>
      <c r="M306" s="1258">
        <f t="shared" si="63"/>
        <v>201242</v>
      </c>
      <c r="N306" s="1242">
        <v>28840</v>
      </c>
      <c r="O306" s="1242">
        <v>5000</v>
      </c>
      <c r="P306" s="1242">
        <v>21000</v>
      </c>
      <c r="Q306" s="1242">
        <v>12900</v>
      </c>
      <c r="R306" s="1242">
        <v>30404</v>
      </c>
      <c r="S306" s="1242">
        <v>8600</v>
      </c>
      <c r="T306" s="1242">
        <v>11740</v>
      </c>
      <c r="U306" s="1242">
        <v>32268</v>
      </c>
      <c r="V306" s="1242">
        <v>25560</v>
      </c>
      <c r="W306" s="1242">
        <v>7000</v>
      </c>
      <c r="X306" s="1242">
        <v>6150</v>
      </c>
      <c r="Y306" s="1242">
        <v>11780</v>
      </c>
    </row>
    <row r="307" spans="1:25" s="1214" customFormat="1" ht="36">
      <c r="B307" s="1092"/>
      <c r="C307" s="1184" t="s">
        <v>34</v>
      </c>
      <c r="D307" s="1440">
        <v>6</v>
      </c>
      <c r="E307" s="1156" t="s">
        <v>417</v>
      </c>
      <c r="F307" s="1258">
        <f t="shared" si="61"/>
        <v>89100</v>
      </c>
      <c r="G307" s="1258">
        <f t="shared" si="64"/>
        <v>40000</v>
      </c>
      <c r="H307" s="1242">
        <v>40000</v>
      </c>
      <c r="I307" s="1243"/>
      <c r="J307" s="1243"/>
      <c r="K307" s="1243"/>
      <c r="L307" s="1243"/>
      <c r="M307" s="1258">
        <f t="shared" si="63"/>
        <v>49100</v>
      </c>
      <c r="N307" s="1242"/>
      <c r="O307" s="1242"/>
      <c r="P307" s="1242">
        <v>7040</v>
      </c>
      <c r="Q307" s="1242"/>
      <c r="R307" s="1242"/>
      <c r="S307" s="1242"/>
      <c r="T307" s="1242"/>
      <c r="U307" s="1242">
        <v>16740</v>
      </c>
      <c r="V307" s="1242">
        <v>5000</v>
      </c>
      <c r="W307" s="1242">
        <v>8000</v>
      </c>
      <c r="X307" s="1242"/>
      <c r="Y307" s="1242">
        <v>12320</v>
      </c>
    </row>
    <row r="308" spans="1:25" s="1214" customFormat="1" ht="72">
      <c r="B308" s="1092"/>
      <c r="C308" s="1184" t="s">
        <v>34</v>
      </c>
      <c r="D308" s="1440">
        <v>7</v>
      </c>
      <c r="E308" s="1156" t="s">
        <v>418</v>
      </c>
      <c r="F308" s="1258">
        <f t="shared" si="61"/>
        <v>60000</v>
      </c>
      <c r="G308" s="1258">
        <f t="shared" si="64"/>
        <v>55000</v>
      </c>
      <c r="H308" s="1242">
        <v>55000</v>
      </c>
      <c r="I308" s="1243"/>
      <c r="J308" s="1243"/>
      <c r="K308" s="1243"/>
      <c r="L308" s="1243"/>
      <c r="M308" s="1258">
        <f t="shared" si="63"/>
        <v>5000</v>
      </c>
      <c r="N308" s="1242"/>
      <c r="O308" s="1242"/>
      <c r="P308" s="1242"/>
      <c r="Q308" s="1242"/>
      <c r="R308" s="1242"/>
      <c r="S308" s="1242"/>
      <c r="T308" s="1242"/>
      <c r="U308" s="1242"/>
      <c r="V308" s="1255"/>
      <c r="W308" s="1242">
        <v>5000</v>
      </c>
      <c r="X308" s="1242"/>
      <c r="Y308" s="1242"/>
    </row>
    <row r="309" spans="1:25" s="1214" customFormat="1" ht="60">
      <c r="B309" s="1092"/>
      <c r="C309" s="1184" t="s">
        <v>34</v>
      </c>
      <c r="D309" s="1440">
        <v>8</v>
      </c>
      <c r="E309" s="1156" t="s">
        <v>625</v>
      </c>
      <c r="F309" s="1258">
        <f t="shared" si="61"/>
        <v>92520</v>
      </c>
      <c r="G309" s="1258">
        <f t="shared" si="64"/>
        <v>91520</v>
      </c>
      <c r="H309" s="1242">
        <v>91520</v>
      </c>
      <c r="I309" s="1243"/>
      <c r="J309" s="1243"/>
      <c r="K309" s="1243"/>
      <c r="L309" s="1243"/>
      <c r="M309" s="1258">
        <f t="shared" si="63"/>
        <v>1000</v>
      </c>
      <c r="N309" s="1242"/>
      <c r="O309" s="1242"/>
      <c r="P309" s="1242"/>
      <c r="Q309" s="1242"/>
      <c r="R309" s="1242"/>
      <c r="S309" s="1242"/>
      <c r="T309" s="1242"/>
      <c r="U309" s="1242"/>
      <c r="V309" s="1242"/>
      <c r="W309" s="1242">
        <v>1000</v>
      </c>
      <c r="X309" s="1242"/>
      <c r="Y309" s="1242"/>
    </row>
    <row r="310" spans="1:25" s="1214" customFormat="1" ht="24">
      <c r="B310" s="1092"/>
      <c r="C310" s="1184" t="s">
        <v>34</v>
      </c>
      <c r="D310" s="1440">
        <v>9</v>
      </c>
      <c r="E310" s="1216" t="s">
        <v>852</v>
      </c>
      <c r="F310" s="1258">
        <f t="shared" si="61"/>
        <v>250000</v>
      </c>
      <c r="G310" s="1258">
        <f t="shared" si="64"/>
        <v>250000</v>
      </c>
      <c r="H310" s="1242">
        <v>250000</v>
      </c>
      <c r="I310" s="1243"/>
      <c r="J310" s="1243"/>
      <c r="K310" s="1243"/>
      <c r="L310" s="1243"/>
      <c r="M310" s="1258">
        <f t="shared" si="63"/>
        <v>0</v>
      </c>
      <c r="N310" s="1242"/>
      <c r="O310" s="1242"/>
      <c r="P310" s="1242"/>
      <c r="Q310" s="1242"/>
      <c r="R310" s="1242"/>
      <c r="S310" s="1242"/>
      <c r="T310" s="1242"/>
      <c r="U310" s="1242"/>
      <c r="V310" s="1242"/>
      <c r="W310" s="1242"/>
      <c r="X310" s="1242"/>
      <c r="Y310" s="1242"/>
    </row>
    <row r="311" spans="1:25" s="1214" customFormat="1" ht="24">
      <c r="B311" s="1092"/>
      <c r="C311" s="1184" t="s">
        <v>34</v>
      </c>
      <c r="D311" s="1440">
        <v>10</v>
      </c>
      <c r="E311" s="1105" t="s">
        <v>261</v>
      </c>
      <c r="F311" s="1258">
        <f t="shared" si="61"/>
        <v>4000</v>
      </c>
      <c r="G311" s="1258">
        <f t="shared" si="64"/>
        <v>0</v>
      </c>
      <c r="H311" s="1242"/>
      <c r="I311" s="1243"/>
      <c r="J311" s="1243"/>
      <c r="K311" s="1243"/>
      <c r="L311" s="1243"/>
      <c r="M311" s="1258">
        <f t="shared" ref="M311:M340" si="70">SUM(N311:Y311)</f>
        <v>4000</v>
      </c>
      <c r="N311" s="1242"/>
      <c r="O311" s="1242"/>
      <c r="P311" s="1242"/>
      <c r="Q311" s="1242"/>
      <c r="R311" s="1242"/>
      <c r="S311" s="1242"/>
      <c r="T311" s="1242"/>
      <c r="U311" s="1242"/>
      <c r="V311" s="1242"/>
      <c r="W311" s="1242">
        <v>4000</v>
      </c>
      <c r="X311" s="1242"/>
      <c r="Y311" s="1242"/>
    </row>
    <row r="312" spans="1:25" s="1214" customFormat="1" ht="48">
      <c r="B312" s="1092"/>
      <c r="C312" s="1184" t="s">
        <v>34</v>
      </c>
      <c r="D312" s="1440">
        <v>11</v>
      </c>
      <c r="E312" s="1105" t="s">
        <v>141</v>
      </c>
      <c r="F312" s="1258">
        <f t="shared" si="61"/>
        <v>23940</v>
      </c>
      <c r="G312" s="1258">
        <f t="shared" si="64"/>
        <v>0</v>
      </c>
      <c r="H312" s="1242"/>
      <c r="I312" s="1243"/>
      <c r="J312" s="1243"/>
      <c r="K312" s="1243"/>
      <c r="L312" s="1243"/>
      <c r="M312" s="1258">
        <f t="shared" si="70"/>
        <v>23940</v>
      </c>
      <c r="N312" s="1242">
        <v>23940</v>
      </c>
      <c r="O312" s="1242"/>
      <c r="P312" s="1242"/>
      <c r="Q312" s="1242"/>
      <c r="R312" s="1242"/>
      <c r="S312" s="1242"/>
      <c r="T312" s="1242"/>
      <c r="U312" s="1242"/>
      <c r="V312" s="1242"/>
      <c r="W312" s="1242"/>
      <c r="X312" s="1242"/>
      <c r="Y312" s="1242"/>
    </row>
    <row r="313" spans="1:25" s="1214" customFormat="1" ht="36">
      <c r="B313" s="1092"/>
      <c r="C313" s="1184" t="s">
        <v>34</v>
      </c>
      <c r="D313" s="1440">
        <v>12</v>
      </c>
      <c r="E313" s="1105" t="s">
        <v>142</v>
      </c>
      <c r="F313" s="1258">
        <f t="shared" si="61"/>
        <v>92710</v>
      </c>
      <c r="G313" s="1258">
        <f t="shared" si="64"/>
        <v>0</v>
      </c>
      <c r="H313" s="1255"/>
      <c r="I313" s="1243"/>
      <c r="J313" s="1243"/>
      <c r="K313" s="1243"/>
      <c r="L313" s="1243"/>
      <c r="M313" s="1258">
        <f t="shared" si="70"/>
        <v>92710</v>
      </c>
      <c r="N313" s="1242">
        <v>49310</v>
      </c>
      <c r="O313" s="1242"/>
      <c r="P313" s="1242"/>
      <c r="Q313" s="1242"/>
      <c r="R313" s="1242"/>
      <c r="S313" s="1242"/>
      <c r="T313" s="1242"/>
      <c r="U313" s="1242">
        <v>23600</v>
      </c>
      <c r="V313" s="1242">
        <v>16800</v>
      </c>
      <c r="W313" s="1242">
        <v>3000</v>
      </c>
      <c r="X313" s="1242"/>
      <c r="Y313" s="1242"/>
    </row>
    <row r="314" spans="1:25" s="1217" customFormat="1" ht="36">
      <c r="A314" s="1217" t="s">
        <v>807</v>
      </c>
      <c r="B314" s="1094" t="s">
        <v>269</v>
      </c>
      <c r="C314" s="1188" t="s">
        <v>1</v>
      </c>
      <c r="D314" s="1441"/>
      <c r="E314" s="1290" t="s">
        <v>263</v>
      </c>
      <c r="F314" s="1235">
        <f t="shared" si="61"/>
        <v>628435</v>
      </c>
      <c r="G314" s="1235">
        <f t="shared" si="64"/>
        <v>278900</v>
      </c>
      <c r="H314" s="1236">
        <f>SUM(H315:H315)</f>
        <v>0</v>
      </c>
      <c r="I314" s="1237">
        <f>SUM(I315:I315)</f>
        <v>278900</v>
      </c>
      <c r="J314" s="1237">
        <f>SUM(J315:J315)</f>
        <v>0</v>
      </c>
      <c r="K314" s="1237">
        <f>SUM(K315:K315)</f>
        <v>0</v>
      </c>
      <c r="L314" s="1237">
        <f>SUM(L315:L315)</f>
        <v>0</v>
      </c>
      <c r="M314" s="1235">
        <f t="shared" si="70"/>
        <v>349535</v>
      </c>
      <c r="N314" s="1236">
        <f t="shared" ref="N314:Y314" si="71">SUM(N315:N315)</f>
        <v>148500</v>
      </c>
      <c r="O314" s="1236">
        <f t="shared" si="71"/>
        <v>34000</v>
      </c>
      <c r="P314" s="1236">
        <f t="shared" si="71"/>
        <v>2000</v>
      </c>
      <c r="Q314" s="1236">
        <f t="shared" si="71"/>
        <v>0</v>
      </c>
      <c r="R314" s="1236">
        <f t="shared" si="71"/>
        <v>5880</v>
      </c>
      <c r="S314" s="1236">
        <f t="shared" si="71"/>
        <v>10000</v>
      </c>
      <c r="T314" s="1236">
        <f t="shared" si="71"/>
        <v>32715</v>
      </c>
      <c r="U314" s="1236">
        <f t="shared" si="71"/>
        <v>15520</v>
      </c>
      <c r="V314" s="1236">
        <f t="shared" si="71"/>
        <v>31720</v>
      </c>
      <c r="W314" s="1236">
        <f t="shared" si="71"/>
        <v>0</v>
      </c>
      <c r="X314" s="1236">
        <f t="shared" si="71"/>
        <v>19200</v>
      </c>
      <c r="Y314" s="1236">
        <f t="shared" si="71"/>
        <v>50000</v>
      </c>
    </row>
    <row r="315" spans="1:25" s="1145" customFormat="1" ht="48">
      <c r="B315" s="1184"/>
      <c r="C315" s="1184" t="s">
        <v>1</v>
      </c>
      <c r="D315" s="1440">
        <v>1</v>
      </c>
      <c r="E315" s="1087" t="s">
        <v>558</v>
      </c>
      <c r="F315" s="1279">
        <f t="shared" si="61"/>
        <v>628435</v>
      </c>
      <c r="G315" s="1279">
        <f t="shared" si="64"/>
        <v>278900</v>
      </c>
      <c r="H315" s="1238"/>
      <c r="I315" s="1239">
        <v>278900</v>
      </c>
      <c r="J315" s="1239"/>
      <c r="K315" s="1239"/>
      <c r="L315" s="1239"/>
      <c r="M315" s="1279">
        <f t="shared" si="70"/>
        <v>349535</v>
      </c>
      <c r="N315" s="1240">
        <v>148500</v>
      </c>
      <c r="O315" s="1244">
        <v>34000</v>
      </c>
      <c r="P315" s="1238">
        <v>2000</v>
      </c>
      <c r="Q315" s="1244"/>
      <c r="R315" s="1254">
        <v>5880</v>
      </c>
      <c r="S315" s="1238">
        <v>10000</v>
      </c>
      <c r="T315" s="1238">
        <v>32715</v>
      </c>
      <c r="U315" s="1244">
        <v>15520</v>
      </c>
      <c r="V315" s="1238">
        <v>31720</v>
      </c>
      <c r="W315" s="1244"/>
      <c r="X315" s="1244">
        <v>19200</v>
      </c>
      <c r="Y315" s="1240">
        <v>50000</v>
      </c>
    </row>
    <row r="316" spans="1:25" s="1078" customFormat="1" ht="36">
      <c r="A316" s="1078" t="s">
        <v>808</v>
      </c>
      <c r="B316" s="1094" t="s">
        <v>270</v>
      </c>
      <c r="C316" s="1188" t="s">
        <v>2</v>
      </c>
      <c r="D316" s="1441"/>
      <c r="E316" s="1290" t="s">
        <v>264</v>
      </c>
      <c r="F316" s="1235">
        <f t="shared" si="61"/>
        <v>760400</v>
      </c>
      <c r="G316" s="1235">
        <f t="shared" si="64"/>
        <v>574500</v>
      </c>
      <c r="H316" s="1236">
        <f t="shared" ref="H316:Y316" si="72">SUM(H317:H319)</f>
        <v>0</v>
      </c>
      <c r="I316" s="1237">
        <f t="shared" si="72"/>
        <v>0</v>
      </c>
      <c r="J316" s="1237">
        <f t="shared" si="72"/>
        <v>574500</v>
      </c>
      <c r="K316" s="1237">
        <f t="shared" si="72"/>
        <v>0</v>
      </c>
      <c r="L316" s="1237">
        <f t="shared" si="72"/>
        <v>0</v>
      </c>
      <c r="M316" s="1235">
        <f t="shared" si="70"/>
        <v>185900</v>
      </c>
      <c r="N316" s="1236">
        <f t="shared" si="72"/>
        <v>35380</v>
      </c>
      <c r="O316" s="1236">
        <f t="shared" si="72"/>
        <v>8400</v>
      </c>
      <c r="P316" s="1236">
        <f t="shared" si="72"/>
        <v>10000</v>
      </c>
      <c r="Q316" s="1236">
        <f t="shared" si="72"/>
        <v>11000</v>
      </c>
      <c r="R316" s="1236">
        <f t="shared" si="72"/>
        <v>46200</v>
      </c>
      <c r="S316" s="1236">
        <f t="shared" si="72"/>
        <v>9200</v>
      </c>
      <c r="T316" s="1236">
        <f t="shared" si="72"/>
        <v>11800</v>
      </c>
      <c r="U316" s="1236">
        <f t="shared" si="72"/>
        <v>10200</v>
      </c>
      <c r="V316" s="1236">
        <f t="shared" si="72"/>
        <v>10800</v>
      </c>
      <c r="W316" s="1236">
        <f t="shared" si="72"/>
        <v>10000</v>
      </c>
      <c r="X316" s="1236">
        <f t="shared" si="72"/>
        <v>12720</v>
      </c>
      <c r="Y316" s="1236">
        <f t="shared" si="72"/>
        <v>10200</v>
      </c>
    </row>
    <row r="317" spans="1:25" s="1145" customFormat="1" ht="72">
      <c r="B317" s="1218"/>
      <c r="C317" s="1184" t="s">
        <v>2</v>
      </c>
      <c r="D317" s="1440">
        <v>1</v>
      </c>
      <c r="E317" s="1219" t="s">
        <v>138</v>
      </c>
      <c r="F317" s="1279">
        <f t="shared" si="61"/>
        <v>159000</v>
      </c>
      <c r="G317" s="1279">
        <f t="shared" si="64"/>
        <v>159000</v>
      </c>
      <c r="H317" s="1254"/>
      <c r="I317" s="1253"/>
      <c r="J317" s="1253">
        <v>159000</v>
      </c>
      <c r="K317" s="1253"/>
      <c r="L317" s="1253"/>
      <c r="M317" s="1279">
        <f t="shared" si="70"/>
        <v>0</v>
      </c>
      <c r="N317" s="1270"/>
      <c r="O317" s="1270"/>
      <c r="P317" s="1270"/>
      <c r="Q317" s="1270"/>
      <c r="R317" s="1270"/>
      <c r="S317" s="1270"/>
      <c r="T317" s="1270"/>
      <c r="U317" s="1270"/>
      <c r="V317" s="1270"/>
      <c r="W317" s="1270"/>
      <c r="X317" s="1270"/>
      <c r="Y317" s="1270"/>
    </row>
    <row r="318" spans="1:25" s="1145" customFormat="1" ht="60">
      <c r="B318" s="1218"/>
      <c r="C318" s="1184" t="s">
        <v>2</v>
      </c>
      <c r="D318" s="1440">
        <v>2</v>
      </c>
      <c r="E318" s="1219" t="s">
        <v>139</v>
      </c>
      <c r="F318" s="1279">
        <f t="shared" si="61"/>
        <v>335900</v>
      </c>
      <c r="G318" s="1279">
        <f t="shared" si="64"/>
        <v>265200</v>
      </c>
      <c r="H318" s="1254"/>
      <c r="I318" s="1253"/>
      <c r="J318" s="1253">
        <v>265200</v>
      </c>
      <c r="K318" s="1253"/>
      <c r="L318" s="1253"/>
      <c r="M318" s="1279">
        <f t="shared" si="70"/>
        <v>70700</v>
      </c>
      <c r="N318" s="1244">
        <f>6200+3980</f>
        <v>10180</v>
      </c>
      <c r="O318" s="1244">
        <v>3400</v>
      </c>
      <c r="P318" s="1244">
        <v>5000</v>
      </c>
      <c r="Q318" s="1244">
        <v>6000</v>
      </c>
      <c r="R318" s="1244">
        <v>6200</v>
      </c>
      <c r="S318" s="1244">
        <v>4200</v>
      </c>
      <c r="T318" s="1244">
        <v>6800</v>
      </c>
      <c r="U318" s="1244">
        <v>5200</v>
      </c>
      <c r="V318" s="1244">
        <v>5800</v>
      </c>
      <c r="W318" s="1244">
        <v>5000</v>
      </c>
      <c r="X318" s="1244">
        <f>5200+2520</f>
        <v>7720</v>
      </c>
      <c r="Y318" s="1244">
        <v>5200</v>
      </c>
    </row>
    <row r="319" spans="1:25" s="1145" customFormat="1" ht="36">
      <c r="B319" s="1218"/>
      <c r="C319" s="1184" t="s">
        <v>2</v>
      </c>
      <c r="D319" s="1440">
        <v>3</v>
      </c>
      <c r="E319" s="1219" t="s">
        <v>140</v>
      </c>
      <c r="F319" s="1279">
        <f t="shared" si="61"/>
        <v>265500</v>
      </c>
      <c r="G319" s="1279">
        <f t="shared" si="64"/>
        <v>150300</v>
      </c>
      <c r="H319" s="1254"/>
      <c r="I319" s="1253"/>
      <c r="J319" s="1253">
        <v>150300</v>
      </c>
      <c r="K319" s="1253"/>
      <c r="L319" s="1253"/>
      <c r="M319" s="1279">
        <f t="shared" si="70"/>
        <v>115200</v>
      </c>
      <c r="N319" s="1244">
        <f>5000+20200</f>
        <v>25200</v>
      </c>
      <c r="O319" s="1244">
        <v>5000</v>
      </c>
      <c r="P319" s="1244">
        <v>5000</v>
      </c>
      <c r="Q319" s="1244">
        <v>5000</v>
      </c>
      <c r="R319" s="1244">
        <f>5000+35000</f>
        <v>40000</v>
      </c>
      <c r="S319" s="1244">
        <v>5000</v>
      </c>
      <c r="T319" s="1244">
        <v>5000</v>
      </c>
      <c r="U319" s="1244">
        <v>5000</v>
      </c>
      <c r="V319" s="1244">
        <v>5000</v>
      </c>
      <c r="W319" s="1244">
        <v>5000</v>
      </c>
      <c r="X319" s="1244">
        <v>5000</v>
      </c>
      <c r="Y319" s="1244">
        <v>5000</v>
      </c>
    </row>
    <row r="320" spans="1:25" s="1217" customFormat="1" ht="72">
      <c r="A320" s="1217" t="s">
        <v>809</v>
      </c>
      <c r="B320" s="1220" t="s">
        <v>271</v>
      </c>
      <c r="C320" s="1221" t="s">
        <v>582</v>
      </c>
      <c r="D320" s="1444"/>
      <c r="E320" s="1312" t="s">
        <v>280</v>
      </c>
      <c r="F320" s="1235">
        <f t="shared" si="61"/>
        <v>70000</v>
      </c>
      <c r="G320" s="1235">
        <f t="shared" ref="G320:G340" si="73">SUM(H320:L320)</f>
        <v>70000</v>
      </c>
      <c r="H320" s="1280">
        <f>SUM(H321:H322)</f>
        <v>0</v>
      </c>
      <c r="I320" s="1281">
        <f t="shared" ref="I320:Y320" si="74">SUM(I321:I322)</f>
        <v>0</v>
      </c>
      <c r="J320" s="1281">
        <f t="shared" si="74"/>
        <v>0</v>
      </c>
      <c r="K320" s="1281">
        <f t="shared" si="74"/>
        <v>70000</v>
      </c>
      <c r="L320" s="1281">
        <f t="shared" si="74"/>
        <v>0</v>
      </c>
      <c r="M320" s="1235">
        <f t="shared" si="70"/>
        <v>0</v>
      </c>
      <c r="N320" s="1280">
        <f t="shared" si="74"/>
        <v>0</v>
      </c>
      <c r="O320" s="1280">
        <f t="shared" si="74"/>
        <v>0</v>
      </c>
      <c r="P320" s="1280">
        <f t="shared" si="74"/>
        <v>0</v>
      </c>
      <c r="Q320" s="1280">
        <f t="shared" si="74"/>
        <v>0</v>
      </c>
      <c r="R320" s="1280">
        <f t="shared" si="74"/>
        <v>0</v>
      </c>
      <c r="S320" s="1280">
        <f t="shared" si="74"/>
        <v>0</v>
      </c>
      <c r="T320" s="1280">
        <f t="shared" si="74"/>
        <v>0</v>
      </c>
      <c r="U320" s="1280">
        <f t="shared" si="74"/>
        <v>0</v>
      </c>
      <c r="V320" s="1280">
        <f t="shared" si="74"/>
        <v>0</v>
      </c>
      <c r="W320" s="1280">
        <f t="shared" si="74"/>
        <v>0</v>
      </c>
      <c r="X320" s="1280">
        <f t="shared" si="74"/>
        <v>0</v>
      </c>
      <c r="Y320" s="1280">
        <f t="shared" si="74"/>
        <v>0</v>
      </c>
    </row>
    <row r="321" spans="1:25" s="1145" customFormat="1" ht="36">
      <c r="B321" s="1184"/>
      <c r="C321" s="1222" t="s">
        <v>582</v>
      </c>
      <c r="D321" s="1445">
        <v>1</v>
      </c>
      <c r="E321" s="1313" t="s">
        <v>288</v>
      </c>
      <c r="F321" s="1279">
        <f t="shared" si="61"/>
        <v>40000</v>
      </c>
      <c r="G321" s="1279">
        <f t="shared" si="73"/>
        <v>40000</v>
      </c>
      <c r="H321" s="1242"/>
      <c r="I321" s="1243"/>
      <c r="J321" s="1243"/>
      <c r="K321" s="1243">
        <v>40000</v>
      </c>
      <c r="L321" s="1243"/>
      <c r="M321" s="1279">
        <f t="shared" si="70"/>
        <v>0</v>
      </c>
      <c r="N321" s="1242"/>
      <c r="O321" s="1242"/>
      <c r="P321" s="1242"/>
      <c r="Q321" s="1242"/>
      <c r="R321" s="1242"/>
      <c r="S321" s="1242"/>
      <c r="T321" s="1242"/>
      <c r="U321" s="1242"/>
      <c r="V321" s="1242"/>
      <c r="W321" s="1242"/>
      <c r="X321" s="1242"/>
      <c r="Y321" s="1242"/>
    </row>
    <row r="322" spans="1:25" s="1145" customFormat="1" ht="24">
      <c r="B322" s="1184"/>
      <c r="C322" s="1222" t="s">
        <v>582</v>
      </c>
      <c r="D322" s="1445">
        <v>2</v>
      </c>
      <c r="E322" s="1313" t="s">
        <v>226</v>
      </c>
      <c r="F322" s="1279">
        <f t="shared" si="61"/>
        <v>30000</v>
      </c>
      <c r="G322" s="1279">
        <f t="shared" si="73"/>
        <v>30000</v>
      </c>
      <c r="H322" s="1242"/>
      <c r="I322" s="1243"/>
      <c r="J322" s="1243"/>
      <c r="K322" s="1243">
        <v>30000</v>
      </c>
      <c r="L322" s="1243"/>
      <c r="M322" s="1279">
        <f t="shared" si="70"/>
        <v>0</v>
      </c>
      <c r="N322" s="1242"/>
      <c r="O322" s="1242"/>
      <c r="P322" s="1242"/>
      <c r="Q322" s="1242"/>
      <c r="R322" s="1242"/>
      <c r="S322" s="1242"/>
      <c r="T322" s="1242"/>
      <c r="U322" s="1242"/>
      <c r="V322" s="1242"/>
      <c r="W322" s="1242"/>
      <c r="X322" s="1242"/>
      <c r="Y322" s="1242"/>
    </row>
    <row r="323" spans="1:25" s="1075" customFormat="1" ht="36">
      <c r="A323" s="1075">
        <v>20</v>
      </c>
      <c r="B323" s="1093">
        <v>20</v>
      </c>
      <c r="C323" s="1223"/>
      <c r="D323" s="1446"/>
      <c r="E323" s="1286" t="s">
        <v>242</v>
      </c>
      <c r="F323" s="1249">
        <f>G323+M323</f>
        <v>2245467</v>
      </c>
      <c r="G323" s="1249">
        <f>SUM(H323:L323)</f>
        <v>1511260</v>
      </c>
      <c r="H323" s="1233">
        <f>H324+H326+H332+H335</f>
        <v>50000</v>
      </c>
      <c r="I323" s="1233">
        <f t="shared" ref="I323:Y323" si="75">I324+I326+I332+I335</f>
        <v>1028240</v>
      </c>
      <c r="J323" s="1233">
        <f t="shared" si="75"/>
        <v>92540</v>
      </c>
      <c r="K323" s="1233">
        <f t="shared" si="75"/>
        <v>163280</v>
      </c>
      <c r="L323" s="1233">
        <f t="shared" si="75"/>
        <v>177200</v>
      </c>
      <c r="M323" s="1233">
        <f t="shared" si="75"/>
        <v>734207</v>
      </c>
      <c r="N323" s="1233">
        <f t="shared" si="75"/>
        <v>190173</v>
      </c>
      <c r="O323" s="1233">
        <f t="shared" si="75"/>
        <v>96440</v>
      </c>
      <c r="P323" s="1233">
        <f t="shared" si="75"/>
        <v>8476</v>
      </c>
      <c r="Q323" s="1233">
        <f t="shared" si="75"/>
        <v>62350</v>
      </c>
      <c r="R323" s="1233">
        <f t="shared" si="75"/>
        <v>74690</v>
      </c>
      <c r="S323" s="1233">
        <f t="shared" si="75"/>
        <v>36560</v>
      </c>
      <c r="T323" s="1233">
        <f t="shared" si="75"/>
        <v>23750</v>
      </c>
      <c r="U323" s="1233">
        <f t="shared" si="75"/>
        <v>61710</v>
      </c>
      <c r="V323" s="1233">
        <f t="shared" si="75"/>
        <v>31728</v>
      </c>
      <c r="W323" s="1233">
        <f t="shared" si="75"/>
        <v>18250</v>
      </c>
      <c r="X323" s="1233">
        <f t="shared" si="75"/>
        <v>34600</v>
      </c>
      <c r="Y323" s="1233">
        <f t="shared" si="75"/>
        <v>95480</v>
      </c>
    </row>
    <row r="324" spans="1:25" s="1078" customFormat="1" ht="48">
      <c r="A324" s="1078" t="s">
        <v>806</v>
      </c>
      <c r="B324" s="1224" t="s">
        <v>281</v>
      </c>
      <c r="C324" s="1225" t="s">
        <v>34</v>
      </c>
      <c r="D324" s="1447"/>
      <c r="E324" s="1290" t="s">
        <v>265</v>
      </c>
      <c r="F324" s="1235">
        <f t="shared" ref="F324:F340" si="76">G324+M324</f>
        <v>91158</v>
      </c>
      <c r="G324" s="1235">
        <f t="shared" si="73"/>
        <v>50000</v>
      </c>
      <c r="H324" s="1236">
        <f>SUM(H325:H325)</f>
        <v>50000</v>
      </c>
      <c r="I324" s="1237">
        <f>SUM(I325:I325)</f>
        <v>0</v>
      </c>
      <c r="J324" s="1237">
        <f>SUM(J325:J325)</f>
        <v>0</v>
      </c>
      <c r="K324" s="1237">
        <f>SUM(K325:K325)</f>
        <v>0</v>
      </c>
      <c r="L324" s="1237">
        <f>SUM(L325:L325)</f>
        <v>0</v>
      </c>
      <c r="M324" s="1235">
        <f t="shared" si="70"/>
        <v>41158</v>
      </c>
      <c r="N324" s="1236">
        <f t="shared" ref="N324:Y324" si="77">SUM(N325:N325)</f>
        <v>3840</v>
      </c>
      <c r="O324" s="1236">
        <f t="shared" si="77"/>
        <v>0</v>
      </c>
      <c r="P324" s="1236">
        <f t="shared" si="77"/>
        <v>1600</v>
      </c>
      <c r="Q324" s="1236">
        <f t="shared" si="77"/>
        <v>2400</v>
      </c>
      <c r="R324" s="1236">
        <f t="shared" si="77"/>
        <v>6736</v>
      </c>
      <c r="S324" s="1236">
        <f t="shared" si="77"/>
        <v>1280</v>
      </c>
      <c r="T324" s="1236">
        <f t="shared" si="77"/>
        <v>1520</v>
      </c>
      <c r="U324" s="1236">
        <f t="shared" si="77"/>
        <v>0</v>
      </c>
      <c r="V324" s="1236">
        <f t="shared" si="77"/>
        <v>10392</v>
      </c>
      <c r="W324" s="1236">
        <f t="shared" si="77"/>
        <v>8000</v>
      </c>
      <c r="X324" s="1236">
        <f t="shared" si="77"/>
        <v>0</v>
      </c>
      <c r="Y324" s="1236">
        <f t="shared" si="77"/>
        <v>5390</v>
      </c>
    </row>
    <row r="325" spans="1:25" s="1226" customFormat="1" ht="36">
      <c r="B325" s="1127"/>
      <c r="C325" s="1205" t="s">
        <v>34</v>
      </c>
      <c r="D325" s="1443">
        <v>1</v>
      </c>
      <c r="E325" s="1105" t="s">
        <v>424</v>
      </c>
      <c r="F325" s="1279">
        <f t="shared" si="76"/>
        <v>91158</v>
      </c>
      <c r="G325" s="1279">
        <f t="shared" si="73"/>
        <v>50000</v>
      </c>
      <c r="H325" s="1238">
        <v>50000</v>
      </c>
      <c r="I325" s="1239"/>
      <c r="J325" s="1239"/>
      <c r="K325" s="1239"/>
      <c r="L325" s="1239"/>
      <c r="M325" s="1279">
        <f t="shared" si="70"/>
        <v>41158</v>
      </c>
      <c r="N325" s="1238">
        <v>3840</v>
      </c>
      <c r="O325" s="1238"/>
      <c r="P325" s="1238">
        <v>1600</v>
      </c>
      <c r="Q325" s="1238">
        <v>2400</v>
      </c>
      <c r="R325" s="1238">
        <v>6736</v>
      </c>
      <c r="S325" s="1238">
        <v>1280</v>
      </c>
      <c r="T325" s="1238">
        <v>1520</v>
      </c>
      <c r="U325" s="1238"/>
      <c r="V325" s="1238">
        <v>10392</v>
      </c>
      <c r="W325" s="1238">
        <v>8000</v>
      </c>
      <c r="X325" s="1238"/>
      <c r="Y325" s="1238">
        <v>5390</v>
      </c>
    </row>
    <row r="326" spans="1:25" s="1078" customFormat="1" ht="48">
      <c r="A326" s="1078" t="s">
        <v>807</v>
      </c>
      <c r="B326" s="1107" t="s">
        <v>282</v>
      </c>
      <c r="C326" s="1227" t="s">
        <v>1</v>
      </c>
      <c r="D326" s="1448"/>
      <c r="E326" s="1290" t="s">
        <v>266</v>
      </c>
      <c r="F326" s="1235">
        <f t="shared" si="76"/>
        <v>1538731</v>
      </c>
      <c r="G326" s="1235">
        <f t="shared" si="73"/>
        <v>1028240</v>
      </c>
      <c r="H326" s="1236">
        <f>SUM(H327:H331)</f>
        <v>0</v>
      </c>
      <c r="I326" s="1237">
        <f t="shared" ref="I326:Y326" si="78">SUM(I327:I331)</f>
        <v>1028240</v>
      </c>
      <c r="J326" s="1237">
        <f t="shared" si="78"/>
        <v>0</v>
      </c>
      <c r="K326" s="1237">
        <f t="shared" si="78"/>
        <v>0</v>
      </c>
      <c r="L326" s="1237">
        <f t="shared" si="78"/>
        <v>0</v>
      </c>
      <c r="M326" s="1235">
        <f t="shared" si="70"/>
        <v>510491</v>
      </c>
      <c r="N326" s="1236">
        <f t="shared" si="78"/>
        <v>173853</v>
      </c>
      <c r="O326" s="1236">
        <f t="shared" si="78"/>
        <v>92000</v>
      </c>
      <c r="P326" s="1236">
        <f t="shared" si="78"/>
        <v>0</v>
      </c>
      <c r="Q326" s="1236">
        <f t="shared" si="78"/>
        <v>22320</v>
      </c>
      <c r="R326" s="1236">
        <f t="shared" si="78"/>
        <v>49358</v>
      </c>
      <c r="S326" s="1236">
        <f t="shared" si="78"/>
        <v>20000</v>
      </c>
      <c r="T326" s="1236">
        <f t="shared" si="78"/>
        <v>3040</v>
      </c>
      <c r="U326" s="1236">
        <f t="shared" si="78"/>
        <v>47400</v>
      </c>
      <c r="V326" s="1236">
        <f t="shared" si="78"/>
        <v>0</v>
      </c>
      <c r="W326" s="1236">
        <f t="shared" si="78"/>
        <v>0</v>
      </c>
      <c r="X326" s="1236">
        <f t="shared" si="78"/>
        <v>27520</v>
      </c>
      <c r="Y326" s="1236">
        <f t="shared" si="78"/>
        <v>75000</v>
      </c>
    </row>
    <row r="327" spans="1:25" s="1088" customFormat="1" ht="36">
      <c r="B327" s="1184"/>
      <c r="C327" s="1154" t="s">
        <v>1</v>
      </c>
      <c r="D327" s="1437">
        <v>1</v>
      </c>
      <c r="E327" s="1085" t="s">
        <v>544</v>
      </c>
      <c r="F327" s="1279">
        <f t="shared" si="76"/>
        <v>284980</v>
      </c>
      <c r="G327" s="1279">
        <f t="shared" si="73"/>
        <v>167200</v>
      </c>
      <c r="H327" s="1238"/>
      <c r="I327" s="1239">
        <v>167200</v>
      </c>
      <c r="J327" s="1239"/>
      <c r="K327" s="1239"/>
      <c r="L327" s="1239"/>
      <c r="M327" s="1279">
        <f t="shared" si="70"/>
        <v>117780</v>
      </c>
      <c r="N327" s="1238"/>
      <c r="O327" s="1238">
        <v>30000</v>
      </c>
      <c r="P327" s="1238"/>
      <c r="Q327" s="1238"/>
      <c r="R327" s="1238">
        <v>2180</v>
      </c>
      <c r="S327" s="1238">
        <v>20000</v>
      </c>
      <c r="T327" s="1238"/>
      <c r="U327" s="1238"/>
      <c r="V327" s="1238"/>
      <c r="W327" s="1238"/>
      <c r="X327" s="1238">
        <v>25600</v>
      </c>
      <c r="Y327" s="1238">
        <v>40000</v>
      </c>
    </row>
    <row r="328" spans="1:25" s="1088" customFormat="1" ht="60">
      <c r="B328" s="1184"/>
      <c r="C328" s="1154" t="s">
        <v>1</v>
      </c>
      <c r="D328" s="1437">
        <v>2</v>
      </c>
      <c r="E328" s="1085" t="s">
        <v>545</v>
      </c>
      <c r="F328" s="1279">
        <f t="shared" si="76"/>
        <v>653675</v>
      </c>
      <c r="G328" s="1279">
        <f t="shared" si="73"/>
        <v>350800</v>
      </c>
      <c r="H328" s="1238"/>
      <c r="I328" s="1239">
        <v>350800</v>
      </c>
      <c r="J328" s="1239"/>
      <c r="K328" s="1239"/>
      <c r="L328" s="1239"/>
      <c r="M328" s="1279">
        <f t="shared" si="70"/>
        <v>302875</v>
      </c>
      <c r="N328" s="1238">
        <f>53680+106020+14153</f>
        <v>173853</v>
      </c>
      <c r="O328" s="1238">
        <v>30000</v>
      </c>
      <c r="P328" s="1238"/>
      <c r="Q328" s="1238"/>
      <c r="R328" s="1238">
        <v>40582</v>
      </c>
      <c r="S328" s="1238"/>
      <c r="T328" s="1238">
        <v>3040</v>
      </c>
      <c r="U328" s="1238">
        <v>45400</v>
      </c>
      <c r="V328" s="1238"/>
      <c r="W328" s="1238"/>
      <c r="X328" s="1238"/>
      <c r="Y328" s="1238">
        <v>10000</v>
      </c>
    </row>
    <row r="329" spans="1:25" s="1088" customFormat="1" ht="36">
      <c r="B329" s="1184"/>
      <c r="C329" s="1154" t="s">
        <v>1</v>
      </c>
      <c r="D329" s="1437">
        <v>3</v>
      </c>
      <c r="E329" s="1085" t="s">
        <v>546</v>
      </c>
      <c r="F329" s="1279">
        <f t="shared" si="76"/>
        <v>63240</v>
      </c>
      <c r="G329" s="1279">
        <f t="shared" si="73"/>
        <v>61240</v>
      </c>
      <c r="H329" s="1238"/>
      <c r="I329" s="1239">
        <v>61240</v>
      </c>
      <c r="J329" s="1239"/>
      <c r="K329" s="1239"/>
      <c r="L329" s="1239"/>
      <c r="M329" s="1279">
        <f t="shared" si="70"/>
        <v>2000</v>
      </c>
      <c r="N329" s="1238"/>
      <c r="O329" s="1238">
        <v>2000</v>
      </c>
      <c r="P329" s="1238"/>
      <c r="Q329" s="1238"/>
      <c r="R329" s="1238"/>
      <c r="S329" s="1238"/>
      <c r="T329" s="1238"/>
      <c r="U329" s="1238"/>
      <c r="V329" s="1238"/>
      <c r="W329" s="1238"/>
      <c r="X329" s="1238"/>
      <c r="Y329" s="1238"/>
    </row>
    <row r="330" spans="1:25" s="1088" customFormat="1" ht="48">
      <c r="B330" s="1184"/>
      <c r="C330" s="1154" t="s">
        <v>1</v>
      </c>
      <c r="D330" s="1437">
        <v>4</v>
      </c>
      <c r="E330" s="1085" t="s">
        <v>547</v>
      </c>
      <c r="F330" s="1279">
        <f t="shared" si="76"/>
        <v>451460</v>
      </c>
      <c r="G330" s="1279">
        <f t="shared" si="73"/>
        <v>425000</v>
      </c>
      <c r="H330" s="1238"/>
      <c r="I330" s="1239">
        <v>425000</v>
      </c>
      <c r="J330" s="1239"/>
      <c r="K330" s="1239"/>
      <c r="L330" s="1239"/>
      <c r="M330" s="1279">
        <f t="shared" si="70"/>
        <v>26460</v>
      </c>
      <c r="N330" s="1238"/>
      <c r="O330" s="1238">
        <v>5000</v>
      </c>
      <c r="P330" s="1238"/>
      <c r="Q330" s="1238"/>
      <c r="R330" s="1238">
        <v>500</v>
      </c>
      <c r="S330" s="1238"/>
      <c r="T330" s="1238"/>
      <c r="U330" s="1238"/>
      <c r="V330" s="1238"/>
      <c r="W330" s="1238"/>
      <c r="X330" s="1238">
        <v>960</v>
      </c>
      <c r="Y330" s="1238">
        <v>20000</v>
      </c>
    </row>
    <row r="331" spans="1:25" s="1088" customFormat="1" ht="24">
      <c r="B331" s="1184"/>
      <c r="C331" s="1154" t="s">
        <v>1</v>
      </c>
      <c r="D331" s="1437">
        <v>5</v>
      </c>
      <c r="E331" s="1085" t="s">
        <v>548</v>
      </c>
      <c r="F331" s="1279">
        <f t="shared" si="76"/>
        <v>85376</v>
      </c>
      <c r="G331" s="1279">
        <f t="shared" si="73"/>
        <v>24000</v>
      </c>
      <c r="H331" s="1238"/>
      <c r="I331" s="1239">
        <v>24000</v>
      </c>
      <c r="J331" s="1239"/>
      <c r="K331" s="1239"/>
      <c r="L331" s="1239"/>
      <c r="M331" s="1279">
        <f t="shared" si="70"/>
        <v>61376</v>
      </c>
      <c r="N331" s="1238"/>
      <c r="O331" s="1238">
        <v>25000</v>
      </c>
      <c r="P331" s="1238"/>
      <c r="Q331" s="1238">
        <v>22320</v>
      </c>
      <c r="R331" s="1238">
        <v>6096</v>
      </c>
      <c r="S331" s="1238"/>
      <c r="T331" s="1238"/>
      <c r="U331" s="1238">
        <v>2000</v>
      </c>
      <c r="V331" s="1238"/>
      <c r="W331" s="1238"/>
      <c r="X331" s="1238">
        <v>960</v>
      </c>
      <c r="Y331" s="1238">
        <v>5000</v>
      </c>
    </row>
    <row r="332" spans="1:25" s="1217" customFormat="1" ht="48">
      <c r="A332" s="1217" t="s">
        <v>808</v>
      </c>
      <c r="B332" s="1228" t="s">
        <v>283</v>
      </c>
      <c r="C332" s="1229" t="s">
        <v>2</v>
      </c>
      <c r="D332" s="1449"/>
      <c r="E332" s="1312" t="s">
        <v>267</v>
      </c>
      <c r="F332" s="1235">
        <f t="shared" si="76"/>
        <v>452298</v>
      </c>
      <c r="G332" s="1235">
        <f t="shared" si="73"/>
        <v>269740</v>
      </c>
      <c r="H332" s="1280">
        <f>SUM(H333:H334)</f>
        <v>0</v>
      </c>
      <c r="I332" s="1281">
        <f t="shared" ref="I332:Y332" si="79">SUM(I333:I334)</f>
        <v>0</v>
      </c>
      <c r="J332" s="1281">
        <f t="shared" si="79"/>
        <v>92540</v>
      </c>
      <c r="K332" s="1281">
        <f t="shared" si="79"/>
        <v>0</v>
      </c>
      <c r="L332" s="1281">
        <f t="shared" si="79"/>
        <v>177200</v>
      </c>
      <c r="M332" s="1235">
        <f t="shared" si="70"/>
        <v>182558</v>
      </c>
      <c r="N332" s="1280">
        <f t="shared" si="79"/>
        <v>12480</v>
      </c>
      <c r="O332" s="1280">
        <f t="shared" si="79"/>
        <v>4440</v>
      </c>
      <c r="P332" s="1280">
        <f t="shared" si="79"/>
        <v>6876</v>
      </c>
      <c r="Q332" s="1280">
        <f t="shared" si="79"/>
        <v>37630</v>
      </c>
      <c r="R332" s="1280">
        <f t="shared" si="79"/>
        <v>18596</v>
      </c>
      <c r="S332" s="1280">
        <f t="shared" si="79"/>
        <v>15280</v>
      </c>
      <c r="T332" s="1280">
        <f t="shared" si="79"/>
        <v>19190</v>
      </c>
      <c r="U332" s="1280">
        <f t="shared" si="79"/>
        <v>14310</v>
      </c>
      <c r="V332" s="1280">
        <f t="shared" si="79"/>
        <v>21336</v>
      </c>
      <c r="W332" s="1280">
        <f t="shared" si="79"/>
        <v>10250</v>
      </c>
      <c r="X332" s="1280">
        <f t="shared" si="79"/>
        <v>7080</v>
      </c>
      <c r="Y332" s="1280">
        <f t="shared" si="79"/>
        <v>15090</v>
      </c>
    </row>
    <row r="333" spans="1:25" s="1088" customFormat="1" ht="48">
      <c r="B333" s="1218"/>
      <c r="C333" s="1158" t="s">
        <v>2</v>
      </c>
      <c r="D333" s="1450">
        <v>1</v>
      </c>
      <c r="E333" s="1112" t="s">
        <v>303</v>
      </c>
      <c r="F333" s="1279">
        <f t="shared" si="76"/>
        <v>208790</v>
      </c>
      <c r="G333" s="1279">
        <f t="shared" si="73"/>
        <v>92540</v>
      </c>
      <c r="H333" s="1254"/>
      <c r="I333" s="1253"/>
      <c r="J333" s="1253">
        <v>92540</v>
      </c>
      <c r="K333" s="1253"/>
      <c r="L333" s="1253"/>
      <c r="M333" s="1279">
        <f t="shared" si="70"/>
        <v>116250</v>
      </c>
      <c r="N333" s="1244">
        <v>9600</v>
      </c>
      <c r="O333" s="1244">
        <v>1440</v>
      </c>
      <c r="P333" s="1244">
        <v>5160</v>
      </c>
      <c r="Q333" s="1244">
        <f>13230+2400</f>
        <v>15630</v>
      </c>
      <c r="R333" s="1244">
        <v>11860</v>
      </c>
      <c r="S333" s="1244">
        <v>7440</v>
      </c>
      <c r="T333" s="1244">
        <v>17670</v>
      </c>
      <c r="U333" s="1244">
        <v>14310</v>
      </c>
      <c r="V333" s="1244">
        <v>11360</v>
      </c>
      <c r="W333" s="1244">
        <v>8370</v>
      </c>
      <c r="X333" s="1244">
        <v>5040</v>
      </c>
      <c r="Y333" s="1244">
        <v>8370</v>
      </c>
    </row>
    <row r="334" spans="1:25" s="1088" customFormat="1" ht="24">
      <c r="B334" s="1218"/>
      <c r="C334" s="1158" t="s">
        <v>2</v>
      </c>
      <c r="D334" s="1450">
        <v>2</v>
      </c>
      <c r="E334" s="1112" t="s">
        <v>295</v>
      </c>
      <c r="F334" s="1279">
        <f t="shared" si="76"/>
        <v>243508</v>
      </c>
      <c r="G334" s="1279">
        <f t="shared" si="73"/>
        <v>177200</v>
      </c>
      <c r="H334" s="1254"/>
      <c r="I334" s="1253"/>
      <c r="J334" s="1253"/>
      <c r="K334" s="1253"/>
      <c r="L334" s="1253">
        <v>177200</v>
      </c>
      <c r="M334" s="1279">
        <f t="shared" si="70"/>
        <v>66308</v>
      </c>
      <c r="N334" s="1254">
        <v>2880</v>
      </c>
      <c r="O334" s="1254">
        <v>3000</v>
      </c>
      <c r="P334" s="1254">
        <v>1716</v>
      </c>
      <c r="Q334" s="1254">
        <v>22000</v>
      </c>
      <c r="R334" s="1254">
        <v>6736</v>
      </c>
      <c r="S334" s="1254">
        <f>3280+4560</f>
        <v>7840</v>
      </c>
      <c r="T334" s="1254">
        <v>1520</v>
      </c>
      <c r="U334" s="1254"/>
      <c r="V334" s="1254">
        <v>9976</v>
      </c>
      <c r="W334" s="1254">
        <v>1880</v>
      </c>
      <c r="X334" s="1254">
        <v>2040</v>
      </c>
      <c r="Y334" s="1254">
        <v>6720</v>
      </c>
    </row>
    <row r="335" spans="1:25" s="1217" customFormat="1" ht="84">
      <c r="A335" s="1217" t="s">
        <v>809</v>
      </c>
      <c r="B335" s="1228" t="s">
        <v>284</v>
      </c>
      <c r="C335" s="1229" t="s">
        <v>582</v>
      </c>
      <c r="D335" s="1449"/>
      <c r="E335" s="1312" t="s">
        <v>279</v>
      </c>
      <c r="F335" s="1235">
        <f t="shared" si="76"/>
        <v>163280</v>
      </c>
      <c r="G335" s="1235">
        <f t="shared" si="73"/>
        <v>163280</v>
      </c>
      <c r="H335" s="1280">
        <f>SUM(H336:H340)</f>
        <v>0</v>
      </c>
      <c r="I335" s="1281">
        <f t="shared" ref="I335:Y335" si="80">SUM(I336:I340)</f>
        <v>0</v>
      </c>
      <c r="J335" s="1281">
        <f t="shared" si="80"/>
        <v>0</v>
      </c>
      <c r="K335" s="1281">
        <f t="shared" si="80"/>
        <v>163280</v>
      </c>
      <c r="L335" s="1281">
        <f t="shared" si="80"/>
        <v>0</v>
      </c>
      <c r="M335" s="1235">
        <f t="shared" si="70"/>
        <v>0</v>
      </c>
      <c r="N335" s="1280">
        <f t="shared" si="80"/>
        <v>0</v>
      </c>
      <c r="O335" s="1280">
        <f t="shared" si="80"/>
        <v>0</v>
      </c>
      <c r="P335" s="1280">
        <f t="shared" si="80"/>
        <v>0</v>
      </c>
      <c r="Q335" s="1280">
        <f t="shared" si="80"/>
        <v>0</v>
      </c>
      <c r="R335" s="1280">
        <f t="shared" si="80"/>
        <v>0</v>
      </c>
      <c r="S335" s="1280">
        <f t="shared" si="80"/>
        <v>0</v>
      </c>
      <c r="T335" s="1280">
        <f t="shared" si="80"/>
        <v>0</v>
      </c>
      <c r="U335" s="1280">
        <f t="shared" si="80"/>
        <v>0</v>
      </c>
      <c r="V335" s="1280">
        <f t="shared" si="80"/>
        <v>0</v>
      </c>
      <c r="W335" s="1280">
        <f t="shared" si="80"/>
        <v>0</v>
      </c>
      <c r="X335" s="1280">
        <f t="shared" si="80"/>
        <v>0</v>
      </c>
      <c r="Y335" s="1280">
        <f t="shared" si="80"/>
        <v>0</v>
      </c>
    </row>
    <row r="336" spans="1:25" s="1088" customFormat="1" ht="36">
      <c r="B336" s="1154"/>
      <c r="C336" s="1158" t="s">
        <v>582</v>
      </c>
      <c r="D336" s="1450">
        <v>1</v>
      </c>
      <c r="E336" s="1105" t="s">
        <v>225</v>
      </c>
      <c r="F336" s="1279">
        <f t="shared" si="76"/>
        <v>40000</v>
      </c>
      <c r="G336" s="1279">
        <f t="shared" si="73"/>
        <v>40000</v>
      </c>
      <c r="H336" s="1238"/>
      <c r="I336" s="1239"/>
      <c r="J336" s="1239"/>
      <c r="K336" s="1239">
        <v>40000</v>
      </c>
      <c r="L336" s="1239"/>
      <c r="M336" s="1279">
        <f t="shared" si="70"/>
        <v>0</v>
      </c>
      <c r="N336" s="1238"/>
      <c r="O336" s="1238"/>
      <c r="P336" s="1238"/>
      <c r="Q336" s="1238"/>
      <c r="R336" s="1238"/>
      <c r="S336" s="1238"/>
      <c r="T336" s="1238"/>
      <c r="U336" s="1238"/>
      <c r="V336" s="1238"/>
      <c r="W336" s="1238"/>
      <c r="X336" s="1238"/>
      <c r="Y336" s="1238"/>
    </row>
    <row r="337" spans="2:25" s="1088" customFormat="1" ht="36">
      <c r="B337" s="1154"/>
      <c r="C337" s="1158" t="s">
        <v>582</v>
      </c>
      <c r="D337" s="1450">
        <v>2</v>
      </c>
      <c r="E337" s="1105" t="s">
        <v>576</v>
      </c>
      <c r="F337" s="1279">
        <f t="shared" si="76"/>
        <v>60000</v>
      </c>
      <c r="G337" s="1279">
        <f t="shared" si="73"/>
        <v>60000</v>
      </c>
      <c r="H337" s="1240"/>
      <c r="I337" s="1239"/>
      <c r="J337" s="1239"/>
      <c r="K337" s="1239">
        <v>60000</v>
      </c>
      <c r="L337" s="1239"/>
      <c r="M337" s="1279">
        <f t="shared" si="70"/>
        <v>0</v>
      </c>
      <c r="N337" s="1240"/>
      <c r="O337" s="1240"/>
      <c r="P337" s="1240"/>
      <c r="Q337" s="1240"/>
      <c r="R337" s="1240"/>
      <c r="S337" s="1240"/>
      <c r="T337" s="1240"/>
      <c r="U337" s="1240"/>
      <c r="V337" s="1238"/>
      <c r="W337" s="1240"/>
      <c r="X337" s="1240"/>
      <c r="Y337" s="1240"/>
    </row>
    <row r="338" spans="2:25" s="1088" customFormat="1" ht="48">
      <c r="B338" s="1154"/>
      <c r="C338" s="1158" t="s">
        <v>582</v>
      </c>
      <c r="D338" s="1450">
        <v>3</v>
      </c>
      <c r="E338" s="1105" t="s">
        <v>229</v>
      </c>
      <c r="F338" s="1279">
        <f t="shared" si="76"/>
        <v>50000</v>
      </c>
      <c r="G338" s="1279">
        <f t="shared" si="73"/>
        <v>50000</v>
      </c>
      <c r="H338" s="1240"/>
      <c r="I338" s="1239"/>
      <c r="J338" s="1239"/>
      <c r="K338" s="1239">
        <v>50000</v>
      </c>
      <c r="L338" s="1239"/>
      <c r="M338" s="1279">
        <f t="shared" si="70"/>
        <v>0</v>
      </c>
      <c r="N338" s="1240"/>
      <c r="O338" s="1240"/>
      <c r="P338" s="1240"/>
      <c r="Q338" s="1240"/>
      <c r="R338" s="1240"/>
      <c r="S338" s="1240"/>
      <c r="T338" s="1240"/>
      <c r="U338" s="1240"/>
      <c r="V338" s="1238"/>
      <c r="W338" s="1240"/>
      <c r="X338" s="1240"/>
      <c r="Y338" s="1240"/>
    </row>
    <row r="339" spans="2:25" s="1088" customFormat="1" ht="48">
      <c r="B339" s="1154"/>
      <c r="C339" s="1158" t="s">
        <v>582</v>
      </c>
      <c r="D339" s="1450">
        <v>4</v>
      </c>
      <c r="E339" s="1105" t="s">
        <v>285</v>
      </c>
      <c r="F339" s="1279">
        <f t="shared" si="76"/>
        <v>5000</v>
      </c>
      <c r="G339" s="1279">
        <f t="shared" si="73"/>
        <v>5000</v>
      </c>
      <c r="H339" s="1238"/>
      <c r="I339" s="1239"/>
      <c r="J339" s="1239"/>
      <c r="K339" s="1239">
        <v>5000</v>
      </c>
      <c r="L339" s="1239">
        <v>0</v>
      </c>
      <c r="M339" s="1279">
        <f t="shared" si="70"/>
        <v>0</v>
      </c>
      <c r="N339" s="1238">
        <v>0</v>
      </c>
      <c r="O339" s="1238">
        <v>0</v>
      </c>
      <c r="P339" s="1238">
        <v>0</v>
      </c>
      <c r="Q339" s="1238">
        <v>0</v>
      </c>
      <c r="R339" s="1238">
        <v>0</v>
      </c>
      <c r="S339" s="1238">
        <v>0</v>
      </c>
      <c r="T339" s="1238">
        <v>0</v>
      </c>
      <c r="U339" s="1238">
        <v>0</v>
      </c>
      <c r="V339" s="1238">
        <v>0</v>
      </c>
      <c r="W339" s="1238">
        <v>0</v>
      </c>
      <c r="X339" s="1238">
        <v>0</v>
      </c>
      <c r="Y339" s="1238">
        <v>0</v>
      </c>
    </row>
    <row r="340" spans="2:25" s="1136" customFormat="1" ht="84">
      <c r="B340" s="1230"/>
      <c r="C340" s="1158" t="s">
        <v>582</v>
      </c>
      <c r="D340" s="1450">
        <v>5</v>
      </c>
      <c r="E340" s="1313" t="s">
        <v>577</v>
      </c>
      <c r="F340" s="1279">
        <f t="shared" si="76"/>
        <v>8280</v>
      </c>
      <c r="G340" s="1279">
        <f t="shared" si="73"/>
        <v>8280</v>
      </c>
      <c r="H340" s="1282"/>
      <c r="I340" s="1283"/>
      <c r="J340" s="1283"/>
      <c r="K340" s="1283">
        <v>8280</v>
      </c>
      <c r="L340" s="1283"/>
      <c r="M340" s="1279">
        <f t="shared" si="70"/>
        <v>0</v>
      </c>
      <c r="N340" s="1282"/>
      <c r="O340" s="1282"/>
      <c r="P340" s="1282"/>
      <c r="Q340" s="1282"/>
      <c r="R340" s="1282"/>
      <c r="S340" s="1282"/>
      <c r="T340" s="1282"/>
      <c r="U340" s="1282"/>
      <c r="V340" s="1282"/>
      <c r="W340" s="1282"/>
      <c r="X340" s="1282"/>
      <c r="Y340" s="1282"/>
    </row>
    <row r="344" spans="2:25">
      <c r="E344" s="1957"/>
      <c r="F344" s="1958"/>
      <c r="G344" s="1958"/>
      <c r="H344" s="1958"/>
      <c r="N344" s="1959"/>
      <c r="O344" s="1959"/>
      <c r="P344" s="1959"/>
      <c r="Q344" s="1959"/>
      <c r="R344" s="1959"/>
      <c r="S344" s="1959"/>
      <c r="U344" s="1959"/>
      <c r="V344" s="1959"/>
      <c r="W344" s="1959"/>
      <c r="X344" s="1959"/>
    </row>
    <row r="345" spans="2:25">
      <c r="B345" s="1057"/>
      <c r="C345" s="1057"/>
      <c r="D345" s="1057"/>
      <c r="N345" s="1959"/>
      <c r="O345" s="1959"/>
      <c r="P345" s="1959"/>
      <c r="Q345" s="1959"/>
      <c r="R345" s="1959"/>
      <c r="S345" s="1959"/>
    </row>
  </sheetData>
  <mergeCells count="12">
    <mergeCell ref="E344:H344"/>
    <mergeCell ref="N344:S344"/>
    <mergeCell ref="U344:X344"/>
    <mergeCell ref="N345:S345"/>
    <mergeCell ref="B2:Y2"/>
    <mergeCell ref="V3:Y3"/>
    <mergeCell ref="B4:B6"/>
    <mergeCell ref="C4:C6"/>
    <mergeCell ref="E4:E6"/>
    <mergeCell ref="F4:F7"/>
    <mergeCell ref="G4:L5"/>
    <mergeCell ref="M4:Y5"/>
  </mergeCells>
  <printOptions horizontalCentered="1"/>
  <pageMargins left="0" right="0" top="0.511811023622047" bottom="0.511811023622047" header="0.31496062992126" footer="0.31496062992126"/>
  <pageSetup paperSize="9"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zoomScale="110" zoomScaleNormal="110" workbookViewId="0">
      <pane xSplit="5" ySplit="6" topLeftCell="F43" activePane="bottomRight" state="frozen"/>
      <selection pane="topRight" activeCell="F1" sqref="F1"/>
      <selection pane="bottomLeft" activeCell="A7" sqref="A7"/>
      <selection pane="bottomRight" activeCell="C9" sqref="C9"/>
    </sheetView>
  </sheetViews>
  <sheetFormatPr defaultRowHeight="12.75"/>
  <cols>
    <col min="1" max="1" width="3.28515625" style="1480" customWidth="1"/>
    <col min="2" max="2" width="4.85546875" style="1479" customWidth="1"/>
    <col min="3" max="3" width="16.7109375" style="1479" customWidth="1"/>
    <col min="4" max="4" width="9.42578125" style="1479" customWidth="1"/>
    <col min="5" max="5" width="11.28515625" style="1479" customWidth="1"/>
    <col min="6" max="6" width="11.5703125" style="1479" customWidth="1"/>
    <col min="7" max="7" width="8.28515625" style="1479" customWidth="1"/>
    <col min="8" max="8" width="8.42578125" style="1479" customWidth="1"/>
    <col min="9" max="9" width="8.5703125" style="1479" customWidth="1"/>
    <col min="10" max="10" width="7.42578125" style="1479" customWidth="1"/>
    <col min="11" max="11" width="8.7109375" style="1479" customWidth="1"/>
    <col min="12" max="12" width="9" style="1479" customWidth="1"/>
    <col min="13" max="13" width="9.140625" style="1479" customWidth="1"/>
    <col min="14" max="14" width="10.42578125" style="1479" customWidth="1"/>
    <col min="15" max="15" width="10.5703125" style="1479" customWidth="1"/>
    <col min="16" max="16" width="7.7109375" style="1479" customWidth="1"/>
    <col min="17" max="17" width="9.42578125" style="1479" customWidth="1"/>
    <col min="18" max="18" width="8.42578125" style="1479" customWidth="1"/>
    <col min="19" max="19" width="8.7109375" style="1479" customWidth="1"/>
    <col min="20" max="20" width="10" style="1479" customWidth="1"/>
    <col min="21" max="21" width="9.5703125" style="1479" customWidth="1"/>
    <col min="22" max="22" width="8.42578125" style="1479" customWidth="1"/>
    <col min="23" max="23" width="9.140625" style="1479" customWidth="1"/>
    <col min="24" max="24" width="8.42578125" style="1479" customWidth="1"/>
    <col min="25" max="25" width="9.5703125" style="1479" customWidth="1"/>
    <col min="26" max="26" width="8.85546875" style="1479" customWidth="1"/>
    <col min="27" max="16384" width="9.140625" style="1479"/>
  </cols>
  <sheetData>
    <row r="1" spans="1:26">
      <c r="A1" s="1924" t="s">
        <v>840</v>
      </c>
      <c r="B1" s="1924"/>
      <c r="C1" s="1924"/>
      <c r="D1" s="1924"/>
      <c r="E1" s="1924"/>
      <c r="F1" s="1924"/>
      <c r="G1" s="1924"/>
      <c r="H1" s="1924"/>
      <c r="I1" s="1924"/>
      <c r="J1" s="1924"/>
      <c r="K1" s="1924"/>
      <c r="L1" s="1924"/>
      <c r="M1" s="1924"/>
      <c r="N1" s="1924"/>
      <c r="O1" s="1924"/>
      <c r="P1" s="1924"/>
      <c r="Q1" s="1924"/>
      <c r="R1" s="1924"/>
      <c r="S1" s="1924"/>
      <c r="T1" s="1924"/>
      <c r="U1" s="1924"/>
      <c r="V1" s="1924"/>
      <c r="W1" s="1924"/>
      <c r="X1" s="1924"/>
      <c r="Y1" s="1924"/>
      <c r="Z1" s="1924"/>
    </row>
    <row r="2" spans="1:26">
      <c r="A2" s="1924"/>
      <c r="B2" s="1924"/>
      <c r="C2" s="1924"/>
      <c r="D2" s="1924"/>
      <c r="E2" s="1924"/>
      <c r="F2" s="1924"/>
      <c r="G2" s="1924"/>
      <c r="H2" s="1924"/>
      <c r="I2" s="1924"/>
      <c r="J2" s="1924"/>
      <c r="K2" s="1924"/>
      <c r="L2" s="1924"/>
      <c r="M2" s="1924"/>
      <c r="N2" s="1924"/>
      <c r="O2" s="1924"/>
      <c r="P2" s="1924"/>
      <c r="Q2" s="1924"/>
      <c r="R2" s="1924"/>
      <c r="S2" s="1924"/>
      <c r="T2" s="1924"/>
      <c r="U2" s="1924"/>
      <c r="V2" s="1924"/>
      <c r="W2" s="1924"/>
      <c r="X2" s="1924"/>
      <c r="Y2" s="1924"/>
      <c r="Z2" s="1924"/>
    </row>
    <row r="3" spans="1:26">
      <c r="A3" s="1638"/>
      <c r="B3" s="1639"/>
      <c r="C3" s="1639"/>
      <c r="D3" s="1639"/>
      <c r="E3" s="1640"/>
      <c r="F3" s="1640"/>
      <c r="G3" s="1925"/>
      <c r="H3" s="1925"/>
      <c r="I3" s="1639"/>
      <c r="J3" s="1641"/>
      <c r="K3" s="1642"/>
      <c r="L3" s="1642"/>
      <c r="M3" s="1642"/>
      <c r="N3" s="1639"/>
      <c r="O3" s="1639"/>
      <c r="P3" s="1639"/>
      <c r="Q3" s="1639"/>
      <c r="R3" s="1639"/>
      <c r="S3" s="1639"/>
      <c r="T3" s="1639"/>
      <c r="U3" s="1639"/>
      <c r="V3" s="1639"/>
      <c r="W3" s="1639"/>
      <c r="X3" s="1639"/>
      <c r="Y3" s="1925" t="s">
        <v>1028</v>
      </c>
      <c r="Z3" s="1925"/>
    </row>
    <row r="4" spans="1:26">
      <c r="A4" s="1926" t="s">
        <v>309</v>
      </c>
      <c r="B4" s="1926" t="s">
        <v>626</v>
      </c>
      <c r="C4" s="1926" t="s">
        <v>751</v>
      </c>
      <c r="D4" s="1929" t="s">
        <v>829</v>
      </c>
      <c r="E4" s="1932" t="s">
        <v>754</v>
      </c>
      <c r="F4" s="1933"/>
      <c r="G4" s="1933"/>
      <c r="H4" s="1933"/>
      <c r="I4" s="1933"/>
      <c r="J4" s="1933"/>
      <c r="K4" s="1643"/>
      <c r="L4" s="1643"/>
      <c r="M4" s="1643"/>
      <c r="N4" s="1932" t="s">
        <v>826</v>
      </c>
      <c r="O4" s="1933"/>
      <c r="P4" s="1933"/>
      <c r="Q4" s="1933"/>
      <c r="R4" s="1933"/>
      <c r="S4" s="1933"/>
      <c r="T4" s="1933"/>
      <c r="U4" s="1933"/>
      <c r="V4" s="1933"/>
      <c r="W4" s="1933"/>
      <c r="X4" s="1933"/>
      <c r="Y4" s="1933"/>
      <c r="Z4" s="1936"/>
    </row>
    <row r="5" spans="1:26">
      <c r="A5" s="1927"/>
      <c r="B5" s="1927"/>
      <c r="C5" s="1927"/>
      <c r="D5" s="1930"/>
      <c r="E5" s="1934"/>
      <c r="F5" s="1935"/>
      <c r="G5" s="1935"/>
      <c r="H5" s="1935"/>
      <c r="I5" s="1935"/>
      <c r="J5" s="1935"/>
      <c r="K5" s="1644"/>
      <c r="L5" s="1644"/>
      <c r="M5" s="1644"/>
      <c r="N5" s="1934"/>
      <c r="O5" s="1935"/>
      <c r="P5" s="1935"/>
      <c r="Q5" s="1935"/>
      <c r="R5" s="1935"/>
      <c r="S5" s="1935"/>
      <c r="T5" s="1935"/>
      <c r="U5" s="1935"/>
      <c r="V5" s="1935"/>
      <c r="W5" s="1935"/>
      <c r="X5" s="1935"/>
      <c r="Y5" s="1935"/>
      <c r="Z5" s="1937"/>
    </row>
    <row r="6" spans="1:26" ht="63">
      <c r="A6" s="1927"/>
      <c r="B6" s="1927"/>
      <c r="C6" s="1927"/>
      <c r="D6" s="1930"/>
      <c r="E6" s="1645" t="s">
        <v>5</v>
      </c>
      <c r="F6" s="1645" t="s">
        <v>821</v>
      </c>
      <c r="G6" s="1645" t="s">
        <v>822</v>
      </c>
      <c r="H6" s="1645" t="s">
        <v>823</v>
      </c>
      <c r="I6" s="1646" t="s">
        <v>824</v>
      </c>
      <c r="J6" s="1647" t="s">
        <v>825</v>
      </c>
      <c r="K6" s="1647" t="s">
        <v>1019</v>
      </c>
      <c r="L6" s="1647" t="s">
        <v>1020</v>
      </c>
      <c r="M6" s="1647" t="s">
        <v>886</v>
      </c>
      <c r="N6" s="1648" t="s">
        <v>5</v>
      </c>
      <c r="O6" s="1649" t="s">
        <v>727</v>
      </c>
      <c r="P6" s="1650" t="s">
        <v>728</v>
      </c>
      <c r="Q6" s="1650" t="s">
        <v>729</v>
      </c>
      <c r="R6" s="1650" t="s">
        <v>730</v>
      </c>
      <c r="S6" s="1650" t="s">
        <v>731</v>
      </c>
      <c r="T6" s="1650" t="s">
        <v>732</v>
      </c>
      <c r="U6" s="1650" t="s">
        <v>733</v>
      </c>
      <c r="V6" s="1650" t="s">
        <v>734</v>
      </c>
      <c r="W6" s="1650" t="s">
        <v>735</v>
      </c>
      <c r="X6" s="1650" t="s">
        <v>736</v>
      </c>
      <c r="Y6" s="1650" t="s">
        <v>737</v>
      </c>
      <c r="Z6" s="1650" t="s">
        <v>738</v>
      </c>
    </row>
    <row r="7" spans="1:26">
      <c r="A7" s="1928"/>
      <c r="B7" s="1928"/>
      <c r="C7" s="1928"/>
      <c r="D7" s="1931"/>
      <c r="E7" s="1651"/>
      <c r="F7" s="1651">
        <v>1</v>
      </c>
      <c r="G7" s="1651">
        <v>2</v>
      </c>
      <c r="H7" s="1651">
        <v>3</v>
      </c>
      <c r="I7" s="1651">
        <v>4</v>
      </c>
      <c r="J7" s="1651">
        <v>5</v>
      </c>
      <c r="K7" s="1651">
        <v>6</v>
      </c>
      <c r="L7" s="1651">
        <v>7</v>
      </c>
      <c r="M7" s="1651">
        <v>8</v>
      </c>
      <c r="N7" s="1652"/>
      <c r="O7" s="1653">
        <v>9</v>
      </c>
      <c r="P7" s="1654">
        <v>10</v>
      </c>
      <c r="Q7" s="1653">
        <v>11</v>
      </c>
      <c r="R7" s="1654">
        <v>12</v>
      </c>
      <c r="S7" s="1653">
        <v>13</v>
      </c>
      <c r="T7" s="1654">
        <v>14</v>
      </c>
      <c r="U7" s="1653">
        <v>15</v>
      </c>
      <c r="V7" s="1654">
        <v>16</v>
      </c>
      <c r="W7" s="1653">
        <v>17</v>
      </c>
      <c r="X7" s="1654">
        <v>18</v>
      </c>
      <c r="Y7" s="1653">
        <v>19</v>
      </c>
      <c r="Z7" s="1654">
        <v>20</v>
      </c>
    </row>
    <row r="8" spans="1:26" s="1482" customFormat="1" ht="21">
      <c r="A8" s="1655" t="s">
        <v>768</v>
      </c>
      <c r="B8" s="1656"/>
      <c r="C8" s="1657" t="s">
        <v>841</v>
      </c>
      <c r="D8" s="1658">
        <f>D9</f>
        <v>71196300</v>
      </c>
      <c r="E8" s="1659"/>
      <c r="F8" s="1659"/>
      <c r="G8" s="1659"/>
      <c r="H8" s="1659"/>
      <c r="I8" s="1659"/>
      <c r="J8" s="1659"/>
      <c r="K8" s="1659"/>
      <c r="L8" s="1659"/>
      <c r="M8" s="1659"/>
      <c r="N8" s="1660"/>
      <c r="O8" s="1661"/>
      <c r="P8" s="1661"/>
      <c r="Q8" s="1661"/>
      <c r="R8" s="1661"/>
      <c r="S8" s="1661"/>
      <c r="T8" s="1661"/>
      <c r="U8" s="1661"/>
      <c r="V8" s="1661"/>
      <c r="W8" s="1661"/>
      <c r="X8" s="1661"/>
      <c r="Y8" s="1661"/>
      <c r="Z8" s="1661"/>
    </row>
    <row r="9" spans="1:26" s="1482" customFormat="1" ht="63">
      <c r="A9" s="1655"/>
      <c r="B9" s="1655"/>
      <c r="C9" s="1662" t="s">
        <v>837</v>
      </c>
      <c r="D9" s="1663">
        <f>D10+D11</f>
        <v>71196300</v>
      </c>
      <c r="E9" s="1663">
        <f t="shared" ref="E9:Z9" si="0">E10+E11</f>
        <v>21461300</v>
      </c>
      <c r="F9" s="1663">
        <f t="shared" si="0"/>
        <v>0</v>
      </c>
      <c r="G9" s="1663">
        <f t="shared" si="0"/>
        <v>0</v>
      </c>
      <c r="H9" s="1663">
        <f t="shared" si="0"/>
        <v>0</v>
      </c>
      <c r="I9" s="1663">
        <f t="shared" si="0"/>
        <v>0</v>
      </c>
      <c r="J9" s="1663">
        <f t="shared" si="0"/>
        <v>0</v>
      </c>
      <c r="K9" s="1663"/>
      <c r="L9" s="1663"/>
      <c r="M9" s="1663"/>
      <c r="N9" s="1663">
        <f t="shared" si="0"/>
        <v>22735000</v>
      </c>
      <c r="O9" s="1663">
        <f t="shared" si="0"/>
        <v>3150800</v>
      </c>
      <c r="P9" s="1663">
        <f t="shared" si="0"/>
        <v>517400</v>
      </c>
      <c r="Q9" s="1663">
        <f t="shared" si="0"/>
        <v>2658400</v>
      </c>
      <c r="R9" s="1663">
        <f t="shared" si="0"/>
        <v>2392200</v>
      </c>
      <c r="S9" s="1663">
        <f t="shared" si="0"/>
        <v>2629800</v>
      </c>
      <c r="T9" s="1663">
        <f t="shared" si="0"/>
        <v>1142100</v>
      </c>
      <c r="U9" s="1663">
        <f t="shared" si="0"/>
        <v>2300300</v>
      </c>
      <c r="V9" s="1663">
        <f t="shared" si="0"/>
        <v>2262600</v>
      </c>
      <c r="W9" s="1663">
        <f t="shared" si="0"/>
        <v>2696300</v>
      </c>
      <c r="X9" s="1663">
        <f t="shared" si="0"/>
        <v>1082600</v>
      </c>
      <c r="Y9" s="1663">
        <f t="shared" si="0"/>
        <v>1100600</v>
      </c>
      <c r="Z9" s="1663">
        <f t="shared" si="0"/>
        <v>801900</v>
      </c>
    </row>
    <row r="10" spans="1:26" s="1483" customFormat="1" ht="56.25">
      <c r="A10" s="1664"/>
      <c r="B10" s="1665"/>
      <c r="C10" s="1666" t="s">
        <v>839</v>
      </c>
      <c r="D10" s="1667">
        <v>27000000</v>
      </c>
      <c r="E10" s="1668"/>
      <c r="F10" s="1668"/>
      <c r="G10" s="1668"/>
      <c r="H10" s="1668"/>
      <c r="I10" s="1668"/>
      <c r="J10" s="1668"/>
      <c r="K10" s="1668"/>
      <c r="L10" s="1668"/>
      <c r="M10" s="1668"/>
      <c r="N10" s="1667">
        <v>0</v>
      </c>
      <c r="O10" s="1669"/>
      <c r="P10" s="1669"/>
      <c r="Q10" s="1669"/>
      <c r="R10" s="1669"/>
      <c r="S10" s="1669"/>
      <c r="T10" s="1669"/>
      <c r="U10" s="1669"/>
      <c r="V10" s="1669"/>
      <c r="W10" s="1669"/>
      <c r="X10" s="1669"/>
      <c r="Y10" s="1669"/>
      <c r="Z10" s="1669"/>
    </row>
    <row r="11" spans="1:26" s="1483" customFormat="1" ht="56.25">
      <c r="A11" s="1670"/>
      <c r="B11" s="1670"/>
      <c r="C11" s="1666" t="s">
        <v>838</v>
      </c>
      <c r="D11" s="1671">
        <f>E11+N11</f>
        <v>44196300</v>
      </c>
      <c r="E11" s="1668">
        <v>21461300</v>
      </c>
      <c r="F11" s="1672"/>
      <c r="G11" s="1672"/>
      <c r="H11" s="1672"/>
      <c r="I11" s="1672"/>
      <c r="J11" s="1672"/>
      <c r="K11" s="1672"/>
      <c r="L11" s="1672"/>
      <c r="M11" s="1672"/>
      <c r="N11" s="1667">
        <f>SUM(O11:Z11)</f>
        <v>22735000</v>
      </c>
      <c r="O11" s="1669">
        <v>3150800</v>
      </c>
      <c r="P11" s="1669">
        <v>517400</v>
      </c>
      <c r="Q11" s="1669">
        <v>2658400</v>
      </c>
      <c r="R11" s="1669">
        <v>2392200</v>
      </c>
      <c r="S11" s="1669">
        <v>2629800</v>
      </c>
      <c r="T11" s="1669">
        <v>1142100</v>
      </c>
      <c r="U11" s="1669">
        <v>2300300</v>
      </c>
      <c r="V11" s="1669">
        <v>2262600</v>
      </c>
      <c r="W11" s="1669">
        <v>2696300</v>
      </c>
      <c r="X11" s="1669">
        <v>1082600</v>
      </c>
      <c r="Y11" s="1669">
        <v>1100600</v>
      </c>
      <c r="Z11" s="1669">
        <v>801900</v>
      </c>
    </row>
    <row r="12" spans="1:26" s="1483" customFormat="1" ht="31.5">
      <c r="A12" s="1673" t="s">
        <v>804</v>
      </c>
      <c r="B12" s="1674"/>
      <c r="C12" s="1675" t="s">
        <v>845</v>
      </c>
      <c r="D12" s="1658">
        <f>D13+D14+D15</f>
        <v>48702000</v>
      </c>
      <c r="E12" s="1658">
        <f t="shared" ref="E12:Z12" si="1">E13+E14+E15</f>
        <v>21504000</v>
      </c>
      <c r="F12" s="1658">
        <f t="shared" si="1"/>
        <v>12106000</v>
      </c>
      <c r="G12" s="1658">
        <f t="shared" si="1"/>
        <v>2687000</v>
      </c>
      <c r="H12" s="1658">
        <f t="shared" si="1"/>
        <v>6592000</v>
      </c>
      <c r="I12" s="1658">
        <f t="shared" si="1"/>
        <v>119000</v>
      </c>
      <c r="J12" s="1658">
        <f t="shared" si="1"/>
        <v>0</v>
      </c>
      <c r="K12" s="1658"/>
      <c r="L12" s="1658"/>
      <c r="M12" s="1658"/>
      <c r="N12" s="1658">
        <f t="shared" si="1"/>
        <v>27198000</v>
      </c>
      <c r="O12" s="1658">
        <f t="shared" si="1"/>
        <v>3682000</v>
      </c>
      <c r="P12" s="1658">
        <f t="shared" si="1"/>
        <v>738000</v>
      </c>
      <c r="Q12" s="1658">
        <f t="shared" si="1"/>
        <v>2972000</v>
      </c>
      <c r="R12" s="1658">
        <f t="shared" si="1"/>
        <v>3036000</v>
      </c>
      <c r="S12" s="1658">
        <f t="shared" si="1"/>
        <v>3183000</v>
      </c>
      <c r="T12" s="1658">
        <f t="shared" si="1"/>
        <v>1253000</v>
      </c>
      <c r="U12" s="1658">
        <f t="shared" si="1"/>
        <v>3046000</v>
      </c>
      <c r="V12" s="1658">
        <f t="shared" si="1"/>
        <v>2807000</v>
      </c>
      <c r="W12" s="1658">
        <f t="shared" si="1"/>
        <v>3067000</v>
      </c>
      <c r="X12" s="1658">
        <f t="shared" si="1"/>
        <v>925000</v>
      </c>
      <c r="Y12" s="1658">
        <f t="shared" si="1"/>
        <v>1057000</v>
      </c>
      <c r="Z12" s="1658">
        <f t="shared" si="1"/>
        <v>1432000</v>
      </c>
    </row>
    <row r="13" spans="1:26" s="1483" customFormat="1" ht="33.75">
      <c r="A13" s="1670"/>
      <c r="B13" s="1670">
        <v>1</v>
      </c>
      <c r="C13" s="1676" t="s">
        <v>844</v>
      </c>
      <c r="D13" s="1671">
        <f>E13+N13</f>
        <v>33813000</v>
      </c>
      <c r="E13" s="1668">
        <f>SUM(F13:J13)</f>
        <v>15229000</v>
      </c>
      <c r="F13" s="1668">
        <v>9812000</v>
      </c>
      <c r="G13" s="1668">
        <v>1352000</v>
      </c>
      <c r="H13" s="1668">
        <v>3966000</v>
      </c>
      <c r="I13" s="1668">
        <v>99000</v>
      </c>
      <c r="J13" s="1668"/>
      <c r="K13" s="1668"/>
      <c r="L13" s="1668"/>
      <c r="M13" s="1668"/>
      <c r="N13" s="1667">
        <f>SUM(O13:Z13)</f>
        <v>18584000</v>
      </c>
      <c r="O13" s="1669">
        <v>2790000</v>
      </c>
      <c r="P13" s="1669">
        <v>376000</v>
      </c>
      <c r="Q13" s="1669">
        <v>2326000</v>
      </c>
      <c r="R13" s="1669">
        <v>2096000</v>
      </c>
      <c r="S13" s="1669">
        <v>2432000</v>
      </c>
      <c r="T13" s="1669">
        <v>410000</v>
      </c>
      <c r="U13" s="1669">
        <v>1972000</v>
      </c>
      <c r="V13" s="1669">
        <v>2102000</v>
      </c>
      <c r="W13" s="1669">
        <v>1989000</v>
      </c>
      <c r="X13" s="1669">
        <v>407000</v>
      </c>
      <c r="Y13" s="1669">
        <v>738000</v>
      </c>
      <c r="Z13" s="1669">
        <v>946000</v>
      </c>
    </row>
    <row r="14" spans="1:26" s="1483" customFormat="1">
      <c r="A14" s="1670"/>
      <c r="B14" s="1670">
        <v>2</v>
      </c>
      <c r="C14" s="1676" t="s">
        <v>843</v>
      </c>
      <c r="D14" s="1671">
        <f>E14+N14</f>
        <v>8614000</v>
      </c>
      <c r="E14" s="1668">
        <f>SUM(F14:J14)</f>
        <v>0</v>
      </c>
      <c r="F14" s="1672"/>
      <c r="G14" s="1672"/>
      <c r="H14" s="1672"/>
      <c r="I14" s="1672"/>
      <c r="J14" s="1672"/>
      <c r="K14" s="1672"/>
      <c r="L14" s="1672"/>
      <c r="M14" s="1672"/>
      <c r="N14" s="1667">
        <f>SUM(O14:Z14)</f>
        <v>8614000</v>
      </c>
      <c r="O14" s="1669">
        <v>892000</v>
      </c>
      <c r="P14" s="1669">
        <v>362000</v>
      </c>
      <c r="Q14" s="1669">
        <v>646000</v>
      </c>
      <c r="R14" s="1669">
        <v>940000</v>
      </c>
      <c r="S14" s="1669">
        <v>751000</v>
      </c>
      <c r="T14" s="1669">
        <v>843000</v>
      </c>
      <c r="U14" s="1669">
        <v>1074000</v>
      </c>
      <c r="V14" s="1669">
        <v>705000</v>
      </c>
      <c r="W14" s="1669">
        <v>1078000</v>
      </c>
      <c r="X14" s="1669">
        <v>518000</v>
      </c>
      <c r="Y14" s="1669">
        <v>319000</v>
      </c>
      <c r="Z14" s="1669">
        <v>486000</v>
      </c>
    </row>
    <row r="15" spans="1:26" s="1483" customFormat="1" ht="22.5">
      <c r="A15" s="1673"/>
      <c r="B15" s="1677">
        <v>3</v>
      </c>
      <c r="C15" s="1676" t="s">
        <v>846</v>
      </c>
      <c r="D15" s="1671">
        <f>E15+N15</f>
        <v>6275000</v>
      </c>
      <c r="E15" s="1668">
        <f>SUM(F15:J15)</f>
        <v>6275000</v>
      </c>
      <c r="F15" s="1668">
        <v>2294000</v>
      </c>
      <c r="G15" s="1668">
        <v>1335000</v>
      </c>
      <c r="H15" s="1668">
        <v>2626000</v>
      </c>
      <c r="I15" s="1668">
        <v>20000</v>
      </c>
      <c r="J15" s="1668"/>
      <c r="K15" s="1668"/>
      <c r="L15" s="1668"/>
      <c r="M15" s="1668"/>
      <c r="N15" s="1667"/>
      <c r="O15" s="1669"/>
      <c r="P15" s="1669"/>
      <c r="Q15" s="1669"/>
      <c r="R15" s="1669"/>
      <c r="S15" s="1669"/>
      <c r="T15" s="1669"/>
      <c r="U15" s="1669"/>
      <c r="V15" s="1669"/>
      <c r="W15" s="1669"/>
      <c r="X15" s="1669"/>
      <c r="Y15" s="1669"/>
      <c r="Z15" s="1669"/>
    </row>
    <row r="16" spans="1:26" ht="42">
      <c r="A16" s="1655" t="s">
        <v>815</v>
      </c>
      <c r="B16" s="1655"/>
      <c r="C16" s="1678" t="s">
        <v>849</v>
      </c>
      <c r="D16" s="1663">
        <f>D17+D22+D27+D33+D34+D35+D39+D40+D41+D44+D48+D49+D50+D51+D52+D53+D54+D55+D56+D61</f>
        <v>66820034.350000001</v>
      </c>
      <c r="E16" s="1663">
        <f t="shared" ref="E16:N16" si="2">E17+E22+E27+E33+E34+E35+E39+E40+E41+E44+E48+E49+E50+E51+E52+E53+E54+E55+E56+E61</f>
        <v>23696377</v>
      </c>
      <c r="F16" s="1663">
        <f t="shared" si="2"/>
        <v>10476820</v>
      </c>
      <c r="G16" s="1663">
        <f t="shared" si="2"/>
        <v>2665000</v>
      </c>
      <c r="H16" s="1663">
        <f t="shared" si="2"/>
        <v>6895702</v>
      </c>
      <c r="I16" s="1663">
        <f t="shared" si="2"/>
        <v>1084640</v>
      </c>
      <c r="J16" s="1663">
        <f t="shared" si="2"/>
        <v>374099</v>
      </c>
      <c r="K16" s="1663">
        <f t="shared" ref="K16" si="3">K17+K22+K27+K33+K34+K35+K39+K40+K41+K44+K48+K49+K50+K51+K52+K53+K54+K55+K56+K61</f>
        <v>0</v>
      </c>
      <c r="L16" s="1663">
        <f t="shared" ref="L16" si="4">L17+L22+L27+L33+L34+L35+L39+L40+L41+L44+L48+L49+L50+L51+L52+L53+L54+L55+L56+L61</f>
        <v>0</v>
      </c>
      <c r="M16" s="1663">
        <f t="shared" ref="M16" si="5">M17+M22+M27+M33+M34+M35+M39+M40+M41+M44+M48+M49+M50+M51+M52+M53+M54+M55+M56+M61</f>
        <v>0</v>
      </c>
      <c r="N16" s="1663">
        <f t="shared" si="2"/>
        <v>43123657.350000001</v>
      </c>
      <c r="O16" s="1663">
        <f t="shared" ref="O16:Y16" si="6">O17+O22+O27+O33+O34+O35+O39+O40+O41+O44+O48+O49+O50+O51+O52+O53+O54+O55+O56+O61</f>
        <v>4935254.5999999996</v>
      </c>
      <c r="P16" s="1663">
        <f t="shared" si="6"/>
        <v>2651368.6039999998</v>
      </c>
      <c r="Q16" s="1663">
        <f t="shared" si="6"/>
        <v>3264119.3</v>
      </c>
      <c r="R16" s="1663">
        <f t="shared" si="6"/>
        <v>5113573.5</v>
      </c>
      <c r="S16" s="1663">
        <f t="shared" si="6"/>
        <v>4301011</v>
      </c>
      <c r="T16" s="1663">
        <f t="shared" si="6"/>
        <v>2907285.2</v>
      </c>
      <c r="U16" s="1663">
        <f t="shared" si="6"/>
        <v>4703585.8459999999</v>
      </c>
      <c r="V16" s="1663">
        <f t="shared" si="6"/>
        <v>3301997.8</v>
      </c>
      <c r="W16" s="1663">
        <f t="shared" si="6"/>
        <v>3218727.5</v>
      </c>
      <c r="X16" s="1663">
        <f t="shared" si="6"/>
        <v>2908957</v>
      </c>
      <c r="Y16" s="1663">
        <f t="shared" si="6"/>
        <v>2994269</v>
      </c>
      <c r="Z16" s="1663">
        <f>Z17+Z22+Z27+Z33+Z34+Z35+Z39+Z40+Z41+Z44+Z48+Z49+Z50+Z51+Z52+Z53+Z54+Z55+Z56+Z61</f>
        <v>2823508</v>
      </c>
    </row>
    <row r="17" spans="1:26" ht="56.25">
      <c r="A17" s="1679">
        <v>1</v>
      </c>
      <c r="B17" s="1679" t="s">
        <v>34</v>
      </c>
      <c r="C17" s="1679" t="s">
        <v>243</v>
      </c>
      <c r="D17" s="1680">
        <f>E17+N17</f>
        <v>16291669.6</v>
      </c>
      <c r="E17" s="1680">
        <f>SUM(E18+E19+E20+E21)</f>
        <v>3611271</v>
      </c>
      <c r="F17" s="1680">
        <f t="shared" ref="F17:Z17" si="7">SUM(F18+F19+F20+F21)</f>
        <v>764715</v>
      </c>
      <c r="G17" s="1680">
        <f t="shared" si="7"/>
        <v>0</v>
      </c>
      <c r="H17" s="1680">
        <f t="shared" si="7"/>
        <v>0</v>
      </c>
      <c r="I17" s="1680">
        <f>SUM(I18+I19+I20+I21)</f>
        <v>646440</v>
      </c>
      <c r="J17" s="1680">
        <f t="shared" si="7"/>
        <v>0</v>
      </c>
      <c r="K17" s="1680"/>
      <c r="L17" s="1680"/>
      <c r="M17" s="1680"/>
      <c r="N17" s="1663">
        <f>SUM(O17:Z17)</f>
        <v>12680398.6</v>
      </c>
      <c r="O17" s="1680">
        <f t="shared" si="7"/>
        <v>798181.6</v>
      </c>
      <c r="P17" s="1680">
        <f t="shared" si="7"/>
        <v>986895.4</v>
      </c>
      <c r="Q17" s="1680">
        <f t="shared" si="7"/>
        <v>1064091.3</v>
      </c>
      <c r="R17" s="1680">
        <f t="shared" si="7"/>
        <v>1657839.5</v>
      </c>
      <c r="S17" s="1680">
        <f t="shared" si="7"/>
        <v>896116</v>
      </c>
      <c r="T17" s="1680">
        <f t="shared" si="7"/>
        <v>839671</v>
      </c>
      <c r="U17" s="1680">
        <f t="shared" si="7"/>
        <v>1437921.5</v>
      </c>
      <c r="V17" s="1680">
        <f t="shared" si="7"/>
        <v>742223.8</v>
      </c>
      <c r="W17" s="1680">
        <f t="shared" si="7"/>
        <v>999210.5</v>
      </c>
      <c r="X17" s="1680">
        <f t="shared" si="7"/>
        <v>1171760</v>
      </c>
      <c r="Y17" s="1680">
        <f t="shared" si="7"/>
        <v>1150741</v>
      </c>
      <c r="Z17" s="1680">
        <f t="shared" si="7"/>
        <v>935747</v>
      </c>
    </row>
    <row r="18" spans="1:26" s="1483" customFormat="1" ht="33.75">
      <c r="A18" s="1681" t="s">
        <v>578</v>
      </c>
      <c r="B18" s="1681" t="s">
        <v>34</v>
      </c>
      <c r="C18" s="1681" t="s">
        <v>827</v>
      </c>
      <c r="D18" s="1680">
        <f t="shared" ref="D18:D65" si="8">E18+N18</f>
        <v>1044980</v>
      </c>
      <c r="E18" s="1667">
        <f>'chi tiết (final)'!G10</f>
        <v>86000</v>
      </c>
      <c r="F18" s="1667">
        <f>'chi tiết (final)'!H10</f>
        <v>86000</v>
      </c>
      <c r="G18" s="1667">
        <f>'chi tiết (final)'!I10</f>
        <v>0</v>
      </c>
      <c r="H18" s="1667">
        <f>'chi tiết (final)'!J10</f>
        <v>0</v>
      </c>
      <c r="I18" s="1667">
        <f>'chi tiết (final)'!K10</f>
        <v>0</v>
      </c>
      <c r="J18" s="1667">
        <f>'chi tiết (final)'!L10</f>
        <v>0</v>
      </c>
      <c r="K18" s="1667"/>
      <c r="L18" s="1667"/>
      <c r="M18" s="1667"/>
      <c r="N18" s="1663">
        <f t="shared" ref="N18:N65" si="9">SUM(O18:Z18)</f>
        <v>958980</v>
      </c>
      <c r="O18" s="1667">
        <f>'chi tiết (final)'!N10</f>
        <v>66402</v>
      </c>
      <c r="P18" s="1667">
        <f>'chi tiết (final)'!O10</f>
        <v>38000</v>
      </c>
      <c r="Q18" s="1667">
        <f>'chi tiết (final)'!P10</f>
        <v>37250</v>
      </c>
      <c r="R18" s="1667">
        <f>'chi tiết (final)'!Q10</f>
        <v>291080</v>
      </c>
      <c r="S18" s="1667">
        <f>'chi tiết (final)'!R10</f>
        <v>52500</v>
      </c>
      <c r="T18" s="1667">
        <f>'chi tiết (final)'!S10</f>
        <v>49700</v>
      </c>
      <c r="U18" s="1667">
        <f>'chi tiết (final)'!T10</f>
        <v>126580</v>
      </c>
      <c r="V18" s="1667">
        <f>'chi tiết (final)'!U10</f>
        <v>50308</v>
      </c>
      <c r="W18" s="1667">
        <f>'chi tiết (final)'!V10</f>
        <v>40800</v>
      </c>
      <c r="X18" s="1667">
        <f>'chi tiết (final)'!W10</f>
        <v>45960</v>
      </c>
      <c r="Y18" s="1667">
        <f>'chi tiết (final)'!X10</f>
        <v>49600</v>
      </c>
      <c r="Z18" s="1667">
        <f>'chi tiết (final)'!Y10</f>
        <v>110800</v>
      </c>
    </row>
    <row r="19" spans="1:26" s="1484" customFormat="1" ht="22.5">
      <c r="A19" s="1681" t="s">
        <v>579</v>
      </c>
      <c r="B19" s="1681" t="s">
        <v>34</v>
      </c>
      <c r="C19" s="1666" t="s">
        <v>861</v>
      </c>
      <c r="D19" s="1680">
        <f t="shared" si="8"/>
        <v>15088739.6</v>
      </c>
      <c r="E19" s="1682">
        <f>SUM(F19:M19)</f>
        <v>3486871</v>
      </c>
      <c r="F19" s="1682">
        <v>640315</v>
      </c>
      <c r="G19" s="1682">
        <v>0</v>
      </c>
      <c r="H19" s="1682">
        <v>0</v>
      </c>
      <c r="I19" s="1682">
        <v>646440</v>
      </c>
      <c r="J19" s="1682">
        <v>0</v>
      </c>
      <c r="K19" s="1682">
        <f>1466744*0.5</f>
        <v>733372</v>
      </c>
      <c r="L19" s="1682">
        <f t="shared" ref="L19:M19" si="10">1466744*0.5</f>
        <v>733372</v>
      </c>
      <c r="M19" s="1682">
        <f t="shared" si="10"/>
        <v>733372</v>
      </c>
      <c r="N19" s="1663">
        <f t="shared" si="9"/>
        <v>11601868.6</v>
      </c>
      <c r="O19" s="1682">
        <v>731779.6</v>
      </c>
      <c r="P19" s="1682">
        <v>829345.4</v>
      </c>
      <c r="Q19" s="1682">
        <v>1026841.3</v>
      </c>
      <c r="R19" s="1682">
        <v>1366759.5</v>
      </c>
      <c r="S19" s="1682">
        <v>843616</v>
      </c>
      <c r="T19" s="1682">
        <v>789971</v>
      </c>
      <c r="U19" s="1682">
        <v>1311341.5</v>
      </c>
      <c r="V19" s="1682">
        <v>691915.8</v>
      </c>
      <c r="W19" s="1682">
        <v>958410.5</v>
      </c>
      <c r="X19" s="1683">
        <v>1125800</v>
      </c>
      <c r="Y19" s="1682">
        <v>1101141</v>
      </c>
      <c r="Z19" s="1682">
        <v>824947</v>
      </c>
    </row>
    <row r="20" spans="1:26" s="1483" customFormat="1" ht="22.5">
      <c r="A20" s="1681" t="s">
        <v>580</v>
      </c>
      <c r="B20" s="1681" t="s">
        <v>34</v>
      </c>
      <c r="C20" s="1681" t="s">
        <v>862</v>
      </c>
      <c r="D20" s="1680">
        <f t="shared" si="8"/>
        <v>8400</v>
      </c>
      <c r="E20" s="1667">
        <f>'chi tiết (final)'!G20</f>
        <v>8400</v>
      </c>
      <c r="F20" s="1667">
        <f>'chi tiết (final)'!H20</f>
        <v>8400</v>
      </c>
      <c r="G20" s="1667">
        <f>'chi tiết (final)'!I20</f>
        <v>0</v>
      </c>
      <c r="H20" s="1667">
        <f>'chi tiết (final)'!J20</f>
        <v>0</v>
      </c>
      <c r="I20" s="1667">
        <f>'chi tiết (final)'!K20</f>
        <v>0</v>
      </c>
      <c r="J20" s="1684"/>
      <c r="K20" s="1684"/>
      <c r="L20" s="1684"/>
      <c r="M20" s="1684"/>
      <c r="N20" s="1663">
        <f t="shared" si="9"/>
        <v>0</v>
      </c>
      <c r="O20" s="1667">
        <f>'chi tiết (final)'!Q20</f>
        <v>0</v>
      </c>
      <c r="P20" s="1667">
        <f>'chi tiết (final)'!R20</f>
        <v>0</v>
      </c>
      <c r="Q20" s="1667">
        <f>'chi tiết (final)'!S20</f>
        <v>0</v>
      </c>
      <c r="R20" s="1667">
        <f>'chi tiết (final)'!T20</f>
        <v>0</v>
      </c>
      <c r="S20" s="1667">
        <f>'chi tiết (final)'!U20</f>
        <v>0</v>
      </c>
      <c r="T20" s="1667">
        <f>'chi tiết (final)'!V20</f>
        <v>0</v>
      </c>
      <c r="U20" s="1667">
        <f>'chi tiết (final)'!W20</f>
        <v>0</v>
      </c>
      <c r="V20" s="1667">
        <f>'chi tiết (final)'!X20</f>
        <v>0</v>
      </c>
      <c r="W20" s="1667">
        <f>'chi tiết (final)'!Y20</f>
        <v>0</v>
      </c>
      <c r="X20" s="1667">
        <f>'chi tiết (final)'!Z20</f>
        <v>0</v>
      </c>
      <c r="Y20" s="1667">
        <f>'chi tiết (final)'!AA20</f>
        <v>0</v>
      </c>
      <c r="Z20" s="1667">
        <f>'chi tiết (final)'!AB20</f>
        <v>0</v>
      </c>
    </row>
    <row r="21" spans="1:26" s="1483" customFormat="1" ht="45">
      <c r="A21" s="1681" t="s">
        <v>581</v>
      </c>
      <c r="B21" s="1681" t="s">
        <v>34</v>
      </c>
      <c r="C21" s="1681" t="s">
        <v>223</v>
      </c>
      <c r="D21" s="1680">
        <f t="shared" si="8"/>
        <v>149550</v>
      </c>
      <c r="E21" s="1667">
        <f>'chi tiết (final)'!G30</f>
        <v>30000</v>
      </c>
      <c r="F21" s="1667">
        <f>'chi tiết (final)'!H30</f>
        <v>30000</v>
      </c>
      <c r="G21" s="1667">
        <f>'chi tiết (final)'!I30</f>
        <v>0</v>
      </c>
      <c r="H21" s="1667">
        <f>'chi tiết (final)'!J30</f>
        <v>0</v>
      </c>
      <c r="I21" s="1667">
        <f>'chi tiết (final)'!K30</f>
        <v>0</v>
      </c>
      <c r="J21" s="1684"/>
      <c r="K21" s="1684"/>
      <c r="L21" s="1684"/>
      <c r="M21" s="1684"/>
      <c r="N21" s="1663">
        <f t="shared" si="9"/>
        <v>119550</v>
      </c>
      <c r="O21" s="1667">
        <f>'chi tiết (final)'!Q30</f>
        <v>0</v>
      </c>
      <c r="P21" s="1667">
        <f>'chi tiết (final)'!R30</f>
        <v>119550</v>
      </c>
      <c r="Q21" s="1667">
        <f>'chi tiết (final)'!S30</f>
        <v>0</v>
      </c>
      <c r="R21" s="1667">
        <f>'chi tiết (final)'!T30</f>
        <v>0</v>
      </c>
      <c r="S21" s="1667">
        <f>'chi tiết (final)'!U30</f>
        <v>0</v>
      </c>
      <c r="T21" s="1667">
        <f>'chi tiết (final)'!V30</f>
        <v>0</v>
      </c>
      <c r="U21" s="1667">
        <f>'chi tiết (final)'!W30</f>
        <v>0</v>
      </c>
      <c r="V21" s="1667">
        <f>'chi tiết (final)'!X30</f>
        <v>0</v>
      </c>
      <c r="W21" s="1667">
        <f>'chi tiết (final)'!Y30</f>
        <v>0</v>
      </c>
      <c r="X21" s="1667">
        <f>'chi tiết (final)'!Z30</f>
        <v>0</v>
      </c>
      <c r="Y21" s="1667">
        <f>'chi tiết (final)'!AA30</f>
        <v>0</v>
      </c>
      <c r="Z21" s="1667">
        <f>'chi tiết (final)'!AB30</f>
        <v>0</v>
      </c>
    </row>
    <row r="22" spans="1:26" ht="33.75">
      <c r="A22" s="1685">
        <v>2</v>
      </c>
      <c r="B22" s="1679" t="s">
        <v>34</v>
      </c>
      <c r="C22" s="1679" t="s">
        <v>234</v>
      </c>
      <c r="D22" s="1680">
        <f t="shared" si="8"/>
        <v>3879066.3459999999</v>
      </c>
      <c r="E22" s="1680">
        <f t="shared" ref="E22:Z22" si="11">E23+E24+E25+E26</f>
        <v>1297680</v>
      </c>
      <c r="F22" s="1680">
        <f t="shared" si="11"/>
        <v>1297680</v>
      </c>
      <c r="G22" s="1680">
        <f t="shared" si="11"/>
        <v>0</v>
      </c>
      <c r="H22" s="1680">
        <f t="shared" si="11"/>
        <v>0</v>
      </c>
      <c r="I22" s="1680">
        <f t="shared" si="11"/>
        <v>0</v>
      </c>
      <c r="J22" s="1680">
        <f t="shared" si="11"/>
        <v>0</v>
      </c>
      <c r="K22" s="1680"/>
      <c r="L22" s="1680"/>
      <c r="M22" s="1680"/>
      <c r="N22" s="1663">
        <f t="shared" si="9"/>
        <v>2581386.3459999999</v>
      </c>
      <c r="O22" s="1680">
        <f>O23+O24+O25+O26</f>
        <v>493343</v>
      </c>
      <c r="P22" s="1680">
        <f t="shared" si="11"/>
        <v>66340</v>
      </c>
      <c r="Q22" s="1680">
        <f t="shared" si="11"/>
        <v>71002</v>
      </c>
      <c r="R22" s="1680">
        <f t="shared" si="11"/>
        <v>242975</v>
      </c>
      <c r="S22" s="1680">
        <f t="shared" si="11"/>
        <v>407340</v>
      </c>
      <c r="T22" s="1680">
        <f t="shared" si="11"/>
        <v>62503</v>
      </c>
      <c r="U22" s="1680">
        <f t="shared" si="11"/>
        <v>446366.34600000002</v>
      </c>
      <c r="V22" s="1680">
        <f t="shared" si="11"/>
        <v>301702</v>
      </c>
      <c r="W22" s="1680">
        <f t="shared" si="11"/>
        <v>-77715</v>
      </c>
      <c r="X22" s="1680">
        <f t="shared" si="11"/>
        <v>180990</v>
      </c>
      <c r="Y22" s="1680">
        <f t="shared" si="11"/>
        <v>188730</v>
      </c>
      <c r="Z22" s="1680">
        <f t="shared" si="11"/>
        <v>197810</v>
      </c>
    </row>
    <row r="23" spans="1:26" s="1483" customFormat="1" ht="22.5">
      <c r="A23" s="1686" t="s">
        <v>251</v>
      </c>
      <c r="B23" s="1681" t="s">
        <v>34</v>
      </c>
      <c r="C23" s="1687" t="s">
        <v>18</v>
      </c>
      <c r="D23" s="1680">
        <f t="shared" si="8"/>
        <v>1223839.3459999999</v>
      </c>
      <c r="E23" s="1667">
        <f>'chi tiết (final)'!G34</f>
        <v>492700</v>
      </c>
      <c r="F23" s="1667">
        <f>'chi tiết (final)'!H34</f>
        <v>492700</v>
      </c>
      <c r="G23" s="1667">
        <f>'chi tiết (final)'!I34</f>
        <v>0</v>
      </c>
      <c r="H23" s="1667">
        <f>'chi tiết (final)'!J34</f>
        <v>0</v>
      </c>
      <c r="I23" s="1667">
        <f>'chi tiết (final)'!K34</f>
        <v>0</v>
      </c>
      <c r="J23" s="1667">
        <f>'chi tiết (final)'!L34</f>
        <v>0</v>
      </c>
      <c r="K23" s="1667"/>
      <c r="L23" s="1667"/>
      <c r="M23" s="1667"/>
      <c r="N23" s="1663">
        <f t="shared" si="9"/>
        <v>731139.34600000002</v>
      </c>
      <c r="O23" s="1667">
        <f>'chi tiết (final)'!N34</f>
        <v>449686</v>
      </c>
      <c r="P23" s="1667">
        <f>'chi tiết (final)'!O34</f>
        <v>15862</v>
      </c>
      <c r="Q23" s="1667">
        <f>'chi tiết (final)'!P34</f>
        <v>22965</v>
      </c>
      <c r="R23" s="1667">
        <f>'chi tiết (final)'!Q34</f>
        <v>6800</v>
      </c>
      <c r="S23" s="1667">
        <f>'chi tiết (final)'!R34</f>
        <v>152180</v>
      </c>
      <c r="T23" s="1667">
        <f>'chi tiết (final)'!S34</f>
        <v>1470</v>
      </c>
      <c r="U23" s="1667">
        <f>'chi tiết (final)'!T34</f>
        <v>11656.346</v>
      </c>
      <c r="V23" s="1667">
        <f>'chi tiết (final)'!U34</f>
        <v>3340</v>
      </c>
      <c r="W23" s="1667">
        <f>'chi tiết (final)'!V34</f>
        <v>22200</v>
      </c>
      <c r="X23" s="1667">
        <f>'chi tiết (final)'!W34</f>
        <v>15350</v>
      </c>
      <c r="Y23" s="1667">
        <f>'chi tiết (final)'!X34</f>
        <v>2400</v>
      </c>
      <c r="Z23" s="1688">
        <v>27230</v>
      </c>
    </row>
    <row r="24" spans="1:26" s="1483" customFormat="1" ht="22.5">
      <c r="A24" s="1689" t="s">
        <v>252</v>
      </c>
      <c r="B24" s="1681" t="s">
        <v>34</v>
      </c>
      <c r="C24" s="1687" t="s">
        <v>19</v>
      </c>
      <c r="D24" s="1680">
        <f t="shared" si="8"/>
        <v>325582</v>
      </c>
      <c r="E24" s="1667">
        <f>'chi tiết (final)'!G46</f>
        <v>235200</v>
      </c>
      <c r="F24" s="1667">
        <f>'chi tiết (final)'!H46</f>
        <v>235200</v>
      </c>
      <c r="G24" s="1667">
        <f>'chi tiết (final)'!I46</f>
        <v>0</v>
      </c>
      <c r="H24" s="1667">
        <f>'chi tiết (final)'!J46</f>
        <v>0</v>
      </c>
      <c r="I24" s="1667">
        <f>'chi tiết (final)'!K46</f>
        <v>0</v>
      </c>
      <c r="J24" s="1667">
        <f>'chi tiết (final)'!L46</f>
        <v>0</v>
      </c>
      <c r="K24" s="1667"/>
      <c r="L24" s="1667"/>
      <c r="M24" s="1667"/>
      <c r="N24" s="1663">
        <f t="shared" si="9"/>
        <v>90382</v>
      </c>
      <c r="O24" s="1667">
        <f>'chi tiết (final)'!N46</f>
        <v>17000</v>
      </c>
      <c r="P24" s="1667">
        <f>'chi tiết (final)'!O46</f>
        <v>2500</v>
      </c>
      <c r="Q24" s="1667">
        <f>'chi tiết (final)'!P46</f>
        <v>6220</v>
      </c>
      <c r="R24" s="1667">
        <f>'chi tiết (final)'!Q46</f>
        <v>23000</v>
      </c>
      <c r="S24" s="1667">
        <f>'chi tiết (final)'!R46</f>
        <v>4380</v>
      </c>
      <c r="T24" s="1667">
        <f>'chi tiết (final)'!S46</f>
        <v>1120</v>
      </c>
      <c r="U24" s="1667">
        <f>'chi tiết (final)'!T46</f>
        <v>8100</v>
      </c>
      <c r="V24" s="1667">
        <f>'chi tiết (final)'!U46</f>
        <v>7452</v>
      </c>
      <c r="W24" s="1667">
        <f>'chi tiết (final)'!V46</f>
        <v>12700</v>
      </c>
      <c r="X24" s="1667">
        <f>'chi tiết (final)'!W46</f>
        <v>3100</v>
      </c>
      <c r="Y24" s="1667">
        <f>'chi tiết (final)'!X46</f>
        <v>2160</v>
      </c>
      <c r="Z24" s="1667">
        <f>'chi tiết (final)'!Y46</f>
        <v>2650</v>
      </c>
    </row>
    <row r="25" spans="1:26" s="1483" customFormat="1" ht="22.5">
      <c r="A25" s="1686" t="s">
        <v>253</v>
      </c>
      <c r="B25" s="1681" t="s">
        <v>34</v>
      </c>
      <c r="C25" s="1687" t="s">
        <v>20</v>
      </c>
      <c r="D25" s="1680">
        <f t="shared" si="8"/>
        <v>338548</v>
      </c>
      <c r="E25" s="1667">
        <f>'chi tiết (final)'!G54</f>
        <v>109780</v>
      </c>
      <c r="F25" s="1667">
        <f>'chi tiết (final)'!H54</f>
        <v>109780</v>
      </c>
      <c r="G25" s="1667">
        <f>'chi tiết (final)'!I54</f>
        <v>0</v>
      </c>
      <c r="H25" s="1667">
        <f>'chi tiết (final)'!J54</f>
        <v>0</v>
      </c>
      <c r="I25" s="1667">
        <f>'chi tiết (final)'!K54</f>
        <v>0</v>
      </c>
      <c r="J25" s="1667">
        <f>'chi tiết (final)'!L54</f>
        <v>0</v>
      </c>
      <c r="K25" s="1667"/>
      <c r="L25" s="1667"/>
      <c r="M25" s="1667"/>
      <c r="N25" s="1663">
        <f t="shared" si="9"/>
        <v>228768</v>
      </c>
      <c r="O25" s="1667">
        <f>'chi tiết (final)'!N54</f>
        <v>16683</v>
      </c>
      <c r="P25" s="1667">
        <f>'chi tiết (final)'!O54</f>
        <v>15978</v>
      </c>
      <c r="Q25" s="1667">
        <f>'chi tiết (final)'!P54</f>
        <v>8259</v>
      </c>
      <c r="R25" s="1667">
        <f>'chi tiết (final)'!Q54</f>
        <v>21600</v>
      </c>
      <c r="S25" s="1667">
        <f>'chi tiết (final)'!R54</f>
        <v>14080</v>
      </c>
      <c r="T25" s="1667">
        <f>'chi tiết (final)'!S54</f>
        <v>12388</v>
      </c>
      <c r="U25" s="1667">
        <f>'chi tiết (final)'!T54</f>
        <v>19960</v>
      </c>
      <c r="V25" s="1667">
        <f>'chi tiết (final)'!U54</f>
        <v>33270</v>
      </c>
      <c r="W25" s="1667">
        <f>'chi tiết (final)'!V54</f>
        <v>37500</v>
      </c>
      <c r="X25" s="1667">
        <f>'chi tiết (final)'!W54</f>
        <v>5000</v>
      </c>
      <c r="Y25" s="1667">
        <f>'chi tiết (final)'!X54</f>
        <v>16800</v>
      </c>
      <c r="Z25" s="1667">
        <f>'chi tiết (final)'!Y54</f>
        <v>27250</v>
      </c>
    </row>
    <row r="26" spans="1:26" s="1483" customFormat="1" ht="22.5">
      <c r="A26" s="1686" t="s">
        <v>254</v>
      </c>
      <c r="B26" s="1681" t="s">
        <v>34</v>
      </c>
      <c r="C26" s="1687" t="s">
        <v>21</v>
      </c>
      <c r="D26" s="1680">
        <f t="shared" si="8"/>
        <v>1991097</v>
      </c>
      <c r="E26" s="1667">
        <f>'chi tiết (final)'!G65</f>
        <v>460000</v>
      </c>
      <c r="F26" s="1667">
        <f>'chi tiết (final)'!H65</f>
        <v>460000</v>
      </c>
      <c r="G26" s="1667">
        <f>'chi tiết (final)'!I65</f>
        <v>0</v>
      </c>
      <c r="H26" s="1667">
        <f>'chi tiết (final)'!J65</f>
        <v>0</v>
      </c>
      <c r="I26" s="1667">
        <f>'chi tiết (final)'!K65</f>
        <v>0</v>
      </c>
      <c r="J26" s="1667">
        <f>'chi tiết (final)'!L65</f>
        <v>0</v>
      </c>
      <c r="K26" s="1667"/>
      <c r="L26" s="1667"/>
      <c r="M26" s="1667"/>
      <c r="N26" s="1663">
        <f t="shared" si="9"/>
        <v>1531097</v>
      </c>
      <c r="O26" s="1667">
        <f>'chi tiết (final)'!N65</f>
        <v>9974</v>
      </c>
      <c r="P26" s="1667">
        <f>'chi tiết (final)'!O65</f>
        <v>32000</v>
      </c>
      <c r="Q26" s="1667">
        <f>'chi tiết (final)'!P65</f>
        <v>33558</v>
      </c>
      <c r="R26" s="1667">
        <f>'chi tiết (final)'!Q65</f>
        <v>191575</v>
      </c>
      <c r="S26" s="1667">
        <f>'chi tiết (final)'!R65</f>
        <v>236700</v>
      </c>
      <c r="T26" s="1667">
        <f>'chi tiết (final)'!S65</f>
        <v>47525</v>
      </c>
      <c r="U26" s="1667">
        <f>'chi tiết (final)'!T65</f>
        <v>406650</v>
      </c>
      <c r="V26" s="1667">
        <f>'chi tiết (final)'!U65</f>
        <v>257640</v>
      </c>
      <c r="W26" s="1688">
        <f>'chi tiết (final)'!V65-300000</f>
        <v>-150115</v>
      </c>
      <c r="X26" s="1667">
        <f>'chi tiết (final)'!W65</f>
        <v>157540</v>
      </c>
      <c r="Y26" s="1667">
        <f>'chi tiết (final)'!X65</f>
        <v>167370</v>
      </c>
      <c r="Z26" s="1667">
        <f>'chi tiết (final)'!Y65</f>
        <v>140680</v>
      </c>
    </row>
    <row r="27" spans="1:26" ht="45">
      <c r="A27" s="1690">
        <v>3</v>
      </c>
      <c r="B27" s="1679" t="s">
        <v>34</v>
      </c>
      <c r="C27" s="1679" t="s">
        <v>235</v>
      </c>
      <c r="D27" s="1680">
        <f t="shared" si="8"/>
        <v>2052662.2039999999</v>
      </c>
      <c r="E27" s="1680">
        <f t="shared" ref="E27:Z27" si="12">E28+E29+E30+E31+E32</f>
        <v>721080</v>
      </c>
      <c r="F27" s="1680">
        <f t="shared" si="12"/>
        <v>721080</v>
      </c>
      <c r="G27" s="1680">
        <f t="shared" si="12"/>
        <v>0</v>
      </c>
      <c r="H27" s="1680">
        <f t="shared" si="12"/>
        <v>0</v>
      </c>
      <c r="I27" s="1680">
        <f t="shared" si="12"/>
        <v>0</v>
      </c>
      <c r="J27" s="1680">
        <f t="shared" si="12"/>
        <v>0</v>
      </c>
      <c r="K27" s="1680"/>
      <c r="L27" s="1680"/>
      <c r="M27" s="1680"/>
      <c r="N27" s="1663">
        <f t="shared" si="9"/>
        <v>1331582.2039999999</v>
      </c>
      <c r="O27" s="1680">
        <f t="shared" si="12"/>
        <v>173466</v>
      </c>
      <c r="P27" s="1680">
        <f t="shared" si="12"/>
        <v>108594.204</v>
      </c>
      <c r="Q27" s="1680">
        <f t="shared" si="12"/>
        <v>109844</v>
      </c>
      <c r="R27" s="1680">
        <f t="shared" si="12"/>
        <v>129841</v>
      </c>
      <c r="S27" s="1680">
        <f t="shared" si="12"/>
        <v>95786</v>
      </c>
      <c r="T27" s="1680">
        <f t="shared" si="12"/>
        <v>65890</v>
      </c>
      <c r="U27" s="1680">
        <f t="shared" si="12"/>
        <v>103915</v>
      </c>
      <c r="V27" s="1680">
        <f t="shared" si="12"/>
        <v>197720</v>
      </c>
      <c r="W27" s="1680">
        <f t="shared" si="12"/>
        <v>178096</v>
      </c>
      <c r="X27" s="1680">
        <f t="shared" si="12"/>
        <v>46380</v>
      </c>
      <c r="Y27" s="1680">
        <f t="shared" si="12"/>
        <v>20580</v>
      </c>
      <c r="Z27" s="1680">
        <f t="shared" si="12"/>
        <v>101470</v>
      </c>
    </row>
    <row r="28" spans="1:26" s="1483" customFormat="1" ht="22.5">
      <c r="A28" s="1686" t="s">
        <v>245</v>
      </c>
      <c r="B28" s="1681" t="s">
        <v>34</v>
      </c>
      <c r="C28" s="1687" t="s">
        <v>23</v>
      </c>
      <c r="D28" s="1680">
        <f t="shared" si="8"/>
        <v>280620</v>
      </c>
      <c r="E28" s="1667">
        <f>'chi tiết (final)'!G86</f>
        <v>62800</v>
      </c>
      <c r="F28" s="1667">
        <f>'chi tiết (final)'!H86</f>
        <v>62800</v>
      </c>
      <c r="G28" s="1667">
        <f>'chi tiết (final)'!I86</f>
        <v>0</v>
      </c>
      <c r="H28" s="1667">
        <f>'chi tiết (final)'!J86</f>
        <v>0</v>
      </c>
      <c r="I28" s="1667">
        <f>'chi tiết (final)'!K86</f>
        <v>0</v>
      </c>
      <c r="J28" s="1667">
        <f>'chi tiết (final)'!L86</f>
        <v>0</v>
      </c>
      <c r="K28" s="1667"/>
      <c r="L28" s="1667"/>
      <c r="M28" s="1667"/>
      <c r="N28" s="1663">
        <f t="shared" si="9"/>
        <v>217820</v>
      </c>
      <c r="O28" s="1667">
        <f>'chi tiết (final)'!N86</f>
        <v>41700</v>
      </c>
      <c r="P28" s="1667">
        <f>'chi tiết (final)'!O86</f>
        <v>51100</v>
      </c>
      <c r="Q28" s="1667">
        <f>'chi tiết (final)'!P86</f>
        <v>36360</v>
      </c>
      <c r="R28" s="1667">
        <f>'chi tiết (final)'!Q86</f>
        <v>12600</v>
      </c>
      <c r="S28" s="1667">
        <f>'chi tiết (final)'!R86</f>
        <v>17500</v>
      </c>
      <c r="T28" s="1667">
        <f>'chi tiết (final)'!S86</f>
        <v>1700</v>
      </c>
      <c r="U28" s="1667">
        <f>'chi tiết (final)'!T86</f>
        <v>19560</v>
      </c>
      <c r="V28" s="1667">
        <f>'chi tiết (final)'!U86</f>
        <v>14880</v>
      </c>
      <c r="W28" s="1667">
        <f>'chi tiết (final)'!V86</f>
        <v>12760</v>
      </c>
      <c r="X28" s="1667">
        <f>'chi tiết (final)'!W86</f>
        <v>7500</v>
      </c>
      <c r="Y28" s="1667">
        <f>'chi tiết (final)'!X86</f>
        <v>2160</v>
      </c>
      <c r="Z28" s="1667">
        <f>'chi tiết (final)'!Y86</f>
        <v>0</v>
      </c>
    </row>
    <row r="29" spans="1:26" s="1483" customFormat="1" ht="22.5">
      <c r="A29" s="1686" t="s">
        <v>246</v>
      </c>
      <c r="B29" s="1681" t="s">
        <v>34</v>
      </c>
      <c r="C29" s="1687" t="s">
        <v>304</v>
      </c>
      <c r="D29" s="1680">
        <f t="shared" si="8"/>
        <v>378040</v>
      </c>
      <c r="E29" s="1667">
        <f>'chi tiết (final)'!G93</f>
        <v>181000</v>
      </c>
      <c r="F29" s="1667">
        <f>'chi tiết (final)'!H93</f>
        <v>181000</v>
      </c>
      <c r="G29" s="1667">
        <f>'chi tiết (final)'!I93</f>
        <v>0</v>
      </c>
      <c r="H29" s="1667">
        <f>'chi tiết (final)'!J93</f>
        <v>0</v>
      </c>
      <c r="I29" s="1667">
        <f>'chi tiết (final)'!K93</f>
        <v>0</v>
      </c>
      <c r="J29" s="1667">
        <f>'chi tiết (final)'!L93</f>
        <v>0</v>
      </c>
      <c r="K29" s="1667"/>
      <c r="L29" s="1667"/>
      <c r="M29" s="1667"/>
      <c r="N29" s="1663">
        <f t="shared" si="9"/>
        <v>197040</v>
      </c>
      <c r="O29" s="1667">
        <f>'chi tiết (final)'!N93</f>
        <v>7875</v>
      </c>
      <c r="P29" s="1667">
        <f>'chi tiết (final)'!O93</f>
        <v>2160</v>
      </c>
      <c r="Q29" s="1667">
        <f>'chi tiết (final)'!P93</f>
        <v>19180</v>
      </c>
      <c r="R29" s="1667">
        <f>'chi tiết (final)'!Q93</f>
        <v>9750</v>
      </c>
      <c r="S29" s="1667">
        <f>'chi tiết (final)'!R93</f>
        <v>32516</v>
      </c>
      <c r="T29" s="1667">
        <f>'chi tiết (final)'!S93</f>
        <v>30380</v>
      </c>
      <c r="U29" s="1667">
        <f>'chi tiết (final)'!T93</f>
        <v>12135</v>
      </c>
      <c r="V29" s="1667">
        <f>'chi tiết (final)'!U93</f>
        <v>14952</v>
      </c>
      <c r="W29" s="1667">
        <f>'chi tiết (final)'!V93</f>
        <v>32472</v>
      </c>
      <c r="X29" s="1667">
        <f>'chi tiết (final)'!W93</f>
        <v>10800</v>
      </c>
      <c r="Y29" s="1667">
        <f>'chi tiết (final)'!X93</f>
        <v>7440</v>
      </c>
      <c r="Z29" s="1667">
        <f>'chi tiết (final)'!Y93</f>
        <v>17380</v>
      </c>
    </row>
    <row r="30" spans="1:26" s="1483" customFormat="1" ht="33.75">
      <c r="A30" s="1686" t="s">
        <v>247</v>
      </c>
      <c r="B30" s="1681" t="s">
        <v>34</v>
      </c>
      <c r="C30" s="1681" t="s">
        <v>237</v>
      </c>
      <c r="D30" s="1680">
        <f t="shared" si="8"/>
        <v>1007880</v>
      </c>
      <c r="E30" s="1667">
        <f>'chi tiết (final)'!G105</f>
        <v>267080</v>
      </c>
      <c r="F30" s="1667">
        <f>'chi tiết (final)'!H105</f>
        <v>267080</v>
      </c>
      <c r="G30" s="1667">
        <f>'chi tiết (final)'!I105</f>
        <v>0</v>
      </c>
      <c r="H30" s="1667">
        <f>'chi tiết (final)'!J105</f>
        <v>0</v>
      </c>
      <c r="I30" s="1667">
        <f>'chi tiết (final)'!K105</f>
        <v>0</v>
      </c>
      <c r="J30" s="1667">
        <f>'chi tiết (final)'!L105</f>
        <v>0</v>
      </c>
      <c r="K30" s="1667"/>
      <c r="L30" s="1667"/>
      <c r="M30" s="1667"/>
      <c r="N30" s="1663">
        <f t="shared" si="9"/>
        <v>740800</v>
      </c>
      <c r="O30" s="1667">
        <f>'chi tiết (final)'!N105</f>
        <v>69007</v>
      </c>
      <c r="P30" s="1667">
        <f>'chi tiết (final)'!O105</f>
        <v>22400</v>
      </c>
      <c r="Q30" s="1667">
        <f>'chi tiết (final)'!P105</f>
        <v>50944</v>
      </c>
      <c r="R30" s="1667">
        <f>'chi tiết (final)'!Q105</f>
        <v>98691</v>
      </c>
      <c r="S30" s="1667">
        <f>'chi tiết (final)'!R105</f>
        <v>45770</v>
      </c>
      <c r="T30" s="1667">
        <f>'chi tiết (final)'!S105</f>
        <v>32330</v>
      </c>
      <c r="U30" s="1667">
        <f>'chi tiết (final)'!T105</f>
        <v>61480</v>
      </c>
      <c r="V30" s="1667">
        <f>'chi tiết (final)'!U105</f>
        <v>167888</v>
      </c>
      <c r="W30" s="1667">
        <f>'chi tiết (final)'!V105</f>
        <v>82200</v>
      </c>
      <c r="X30" s="1667">
        <f>'chi tiết (final)'!W105</f>
        <v>22030</v>
      </c>
      <c r="Y30" s="1667">
        <f>'chi tiết (final)'!X105</f>
        <v>7620</v>
      </c>
      <c r="Z30" s="1667">
        <f>'chi tiết (final)'!Y105</f>
        <v>80440</v>
      </c>
    </row>
    <row r="31" spans="1:26" s="1483" customFormat="1" ht="22.5">
      <c r="A31" s="1689" t="s">
        <v>828</v>
      </c>
      <c r="B31" s="1681" t="s">
        <v>34</v>
      </c>
      <c r="C31" s="1681" t="s">
        <v>865</v>
      </c>
      <c r="D31" s="1680">
        <f t="shared" si="8"/>
        <v>228422</v>
      </c>
      <c r="E31" s="1667">
        <f>'chi tiết (final)'!G111</f>
        <v>135200</v>
      </c>
      <c r="F31" s="1667">
        <f>'chi tiết (final)'!H111</f>
        <v>135200</v>
      </c>
      <c r="G31" s="1667">
        <f>'chi tiết (final)'!I111</f>
        <v>0</v>
      </c>
      <c r="H31" s="1667">
        <f>'chi tiết (final)'!J111</f>
        <v>0</v>
      </c>
      <c r="I31" s="1667">
        <f>'chi tiết (final)'!K111</f>
        <v>0</v>
      </c>
      <c r="J31" s="1667">
        <f>'chi tiết (final)'!L111</f>
        <v>0</v>
      </c>
      <c r="K31" s="1667"/>
      <c r="L31" s="1667"/>
      <c r="M31" s="1667"/>
      <c r="N31" s="1663">
        <f t="shared" si="9"/>
        <v>93222</v>
      </c>
      <c r="O31" s="1667">
        <f>'chi tiết (final)'!N111</f>
        <v>12938</v>
      </c>
      <c r="P31" s="1667">
        <f>'chi tiết (final)'!O111</f>
        <v>28500</v>
      </c>
      <c r="Q31" s="1667">
        <f>'chi tiết (final)'!P111</f>
        <v>1180</v>
      </c>
      <c r="R31" s="1667">
        <f>'chi tiết (final)'!Q111</f>
        <v>4200</v>
      </c>
      <c r="S31" s="1667">
        <f>'chi tiết (final)'!R111</f>
        <v>0</v>
      </c>
      <c r="T31" s="1667">
        <f>'chi tiết (final)'!S111</f>
        <v>0</v>
      </c>
      <c r="U31" s="1667">
        <f>'chi tiết (final)'!T111</f>
        <v>0</v>
      </c>
      <c r="V31" s="1667">
        <f>'chi tiết (final)'!U111</f>
        <v>0</v>
      </c>
      <c r="W31" s="1667">
        <f>'chi tiết (final)'!V111</f>
        <v>46404</v>
      </c>
      <c r="X31" s="1667">
        <f>'chi tiết (final)'!W111</f>
        <v>0</v>
      </c>
      <c r="Y31" s="1667">
        <f>'chi tiết (final)'!X111</f>
        <v>0</v>
      </c>
      <c r="Z31" s="1667">
        <f>'chi tiết (final)'!Y111</f>
        <v>0</v>
      </c>
    </row>
    <row r="32" spans="1:26" s="1483" customFormat="1" ht="56.25">
      <c r="A32" s="1686" t="s">
        <v>248</v>
      </c>
      <c r="B32" s="1681" t="s">
        <v>34</v>
      </c>
      <c r="C32" s="1687" t="s">
        <v>24</v>
      </c>
      <c r="D32" s="1680">
        <f t="shared" si="8"/>
        <v>157700.204</v>
      </c>
      <c r="E32" s="1667">
        <f>'chi tiết (final)'!G120</f>
        <v>75000</v>
      </c>
      <c r="F32" s="1667">
        <f>'chi tiết (final)'!H120</f>
        <v>75000</v>
      </c>
      <c r="G32" s="1667">
        <f>'chi tiết (final)'!I120</f>
        <v>0</v>
      </c>
      <c r="H32" s="1667">
        <f>'chi tiết (final)'!J120</f>
        <v>0</v>
      </c>
      <c r="I32" s="1667">
        <f>'chi tiết (final)'!K120</f>
        <v>0</v>
      </c>
      <c r="J32" s="1667">
        <f>'chi tiết (final)'!L120</f>
        <v>0</v>
      </c>
      <c r="K32" s="1667"/>
      <c r="L32" s="1667"/>
      <c r="M32" s="1667"/>
      <c r="N32" s="1663">
        <f t="shared" si="9"/>
        <v>82700.203999999998</v>
      </c>
      <c r="O32" s="1667">
        <f>'chi tiết (final)'!N120</f>
        <v>41946</v>
      </c>
      <c r="P32" s="1667">
        <f>'chi tiết (final)'!O120</f>
        <v>4434.2039999999997</v>
      </c>
      <c r="Q32" s="1667">
        <f>'chi tiết (final)'!P120</f>
        <v>2180</v>
      </c>
      <c r="R32" s="1667">
        <f>'chi tiết (final)'!Q120</f>
        <v>4600</v>
      </c>
      <c r="S32" s="1667">
        <f>'chi tiết (final)'!R120</f>
        <v>0</v>
      </c>
      <c r="T32" s="1667">
        <f>'chi tiết (final)'!S120</f>
        <v>1480</v>
      </c>
      <c r="U32" s="1667">
        <f>'chi tiết (final)'!T120</f>
        <v>10740</v>
      </c>
      <c r="V32" s="1667">
        <f>'chi tiết (final)'!U120</f>
        <v>0</v>
      </c>
      <c r="W32" s="1667">
        <f>'chi tiết (final)'!V120</f>
        <v>4260</v>
      </c>
      <c r="X32" s="1667">
        <f>'chi tiết (final)'!W120</f>
        <v>6050</v>
      </c>
      <c r="Y32" s="1667">
        <f>'chi tiết (final)'!X120</f>
        <v>3360</v>
      </c>
      <c r="Z32" s="1667">
        <f>'chi tiết (final)'!Y120</f>
        <v>3650</v>
      </c>
    </row>
    <row r="33" spans="1:26" ht="22.5">
      <c r="A33" s="1690">
        <v>4</v>
      </c>
      <c r="B33" s="1679" t="s">
        <v>34</v>
      </c>
      <c r="C33" s="1691" t="s">
        <v>240</v>
      </c>
      <c r="D33" s="1680">
        <f t="shared" si="8"/>
        <v>314298</v>
      </c>
      <c r="E33" s="1680">
        <f>'chi tiết (final)'!G124</f>
        <v>165000</v>
      </c>
      <c r="F33" s="1680">
        <f>'chi tiết (final)'!H124</f>
        <v>165000</v>
      </c>
      <c r="G33" s="1680">
        <f>'chi tiết (final)'!I124</f>
        <v>0</v>
      </c>
      <c r="H33" s="1680">
        <f>'chi tiết (final)'!J124</f>
        <v>0</v>
      </c>
      <c r="I33" s="1680">
        <f>'chi tiết (final)'!K124</f>
        <v>0</v>
      </c>
      <c r="J33" s="1680">
        <f>'chi tiết (final)'!L124</f>
        <v>0</v>
      </c>
      <c r="K33" s="1680"/>
      <c r="L33" s="1680"/>
      <c r="M33" s="1680"/>
      <c r="N33" s="1663">
        <f t="shared" si="9"/>
        <v>149298</v>
      </c>
      <c r="O33" s="1680">
        <f>'chi tiết (final)'!N124</f>
        <v>9800</v>
      </c>
      <c r="P33" s="1680">
        <f>'chi tiết (final)'!O124</f>
        <v>36200</v>
      </c>
      <c r="Q33" s="1680">
        <f>'chi tiết (final)'!P124</f>
        <v>4680</v>
      </c>
      <c r="R33" s="1680">
        <f>'chi tiết (final)'!Q124</f>
        <v>6390</v>
      </c>
      <c r="S33" s="1680">
        <f>'chi tiết (final)'!R124</f>
        <v>2820</v>
      </c>
      <c r="T33" s="1680">
        <f>'chi tiết (final)'!S124</f>
        <v>9010</v>
      </c>
      <c r="U33" s="1680">
        <f>'chi tiết (final)'!T124</f>
        <v>12710</v>
      </c>
      <c r="V33" s="1680">
        <f>'chi tiết (final)'!U124</f>
        <v>9700</v>
      </c>
      <c r="W33" s="1680">
        <f>'chi tiết (final)'!V124</f>
        <v>13920</v>
      </c>
      <c r="X33" s="1680">
        <f>'chi tiết (final)'!W124</f>
        <v>29828</v>
      </c>
      <c r="Y33" s="1680">
        <f>'chi tiết (final)'!X124</f>
        <v>6200</v>
      </c>
      <c r="Z33" s="1680">
        <f>'chi tiết (final)'!Y124</f>
        <v>8040</v>
      </c>
    </row>
    <row r="34" spans="1:26" ht="22.5">
      <c r="A34" s="1685">
        <v>5</v>
      </c>
      <c r="B34" s="1679" t="s">
        <v>34</v>
      </c>
      <c r="C34" s="1679" t="s">
        <v>236</v>
      </c>
      <c r="D34" s="1680">
        <f t="shared" si="8"/>
        <v>10404126</v>
      </c>
      <c r="E34" s="1680">
        <f>'chi tiết (final)'!G133</f>
        <v>1230070</v>
      </c>
      <c r="F34" s="1680">
        <f>'chi tiết (final)'!H133</f>
        <v>1230070</v>
      </c>
      <c r="G34" s="1680">
        <f>'chi tiết (final)'!I133</f>
        <v>0</v>
      </c>
      <c r="H34" s="1680">
        <f>'chi tiết (final)'!J133</f>
        <v>0</v>
      </c>
      <c r="I34" s="1680">
        <f>'chi tiết (final)'!K133</f>
        <v>0</v>
      </c>
      <c r="J34" s="1680">
        <f>'chi tiết (final)'!L133</f>
        <v>0</v>
      </c>
      <c r="K34" s="1680"/>
      <c r="L34" s="1680"/>
      <c r="M34" s="1680"/>
      <c r="N34" s="1663">
        <f t="shared" si="9"/>
        <v>9174056</v>
      </c>
      <c r="O34" s="1692">
        <v>1372983</v>
      </c>
      <c r="P34" s="1680">
        <f>'chi tiết (final)'!O133</f>
        <v>643210</v>
      </c>
      <c r="Q34" s="1680">
        <f>'chi tiết (final)'!P133</f>
        <v>801695</v>
      </c>
      <c r="R34" s="1680">
        <f>'chi tiết (final)'!Q133</f>
        <v>1123086</v>
      </c>
      <c r="S34" s="1680">
        <f>'chi tiết (final)'!R133</f>
        <v>1101526</v>
      </c>
      <c r="T34" s="1680">
        <f>'chi tiết (final)'!S133</f>
        <v>711665</v>
      </c>
      <c r="U34" s="1680">
        <f>'chi tiết (final)'!T133</f>
        <v>762900</v>
      </c>
      <c r="V34" s="1680">
        <f>'chi tiết (final)'!U133</f>
        <v>284308</v>
      </c>
      <c r="W34" s="1680">
        <f>'chi tiết (final)'!V133</f>
        <v>864591</v>
      </c>
      <c r="X34" s="1680">
        <f>'chi tiết (final)'!W133</f>
        <v>536240</v>
      </c>
      <c r="Y34" s="1680">
        <f>'chi tiết (final)'!X133</f>
        <v>471069</v>
      </c>
      <c r="Z34" s="1680">
        <f>'chi tiết (final)'!Y133</f>
        <v>500783</v>
      </c>
    </row>
    <row r="35" spans="1:26">
      <c r="A35" s="1670">
        <v>6</v>
      </c>
      <c r="B35" s="1670" t="s">
        <v>572</v>
      </c>
      <c r="C35" s="1681" t="s">
        <v>559</v>
      </c>
      <c r="D35" s="1680">
        <f t="shared" si="8"/>
        <v>16142224</v>
      </c>
      <c r="E35" s="1680">
        <f t="shared" ref="E35:Z35" si="13">E36+E37+E38</f>
        <v>6228662</v>
      </c>
      <c r="F35" s="1680">
        <f t="shared" si="13"/>
        <v>0</v>
      </c>
      <c r="G35" s="1680">
        <f t="shared" si="13"/>
        <v>0</v>
      </c>
      <c r="H35" s="1680">
        <f t="shared" si="13"/>
        <v>6228662</v>
      </c>
      <c r="I35" s="1680">
        <f t="shared" si="13"/>
        <v>0</v>
      </c>
      <c r="J35" s="1680">
        <f t="shared" si="13"/>
        <v>0</v>
      </c>
      <c r="K35" s="1680"/>
      <c r="L35" s="1680"/>
      <c r="M35" s="1680"/>
      <c r="N35" s="1663">
        <f t="shared" si="9"/>
        <v>9913562</v>
      </c>
      <c r="O35" s="1680">
        <f t="shared" si="13"/>
        <v>962276</v>
      </c>
      <c r="P35" s="1680">
        <f t="shared" si="13"/>
        <v>330975</v>
      </c>
      <c r="Q35" s="1680">
        <f t="shared" si="13"/>
        <v>791760</v>
      </c>
      <c r="R35" s="1680">
        <f t="shared" si="13"/>
        <v>1370854</v>
      </c>
      <c r="S35" s="1680">
        <f t="shared" si="13"/>
        <v>1092236</v>
      </c>
      <c r="T35" s="1680">
        <f t="shared" si="13"/>
        <v>712553</v>
      </c>
      <c r="U35" s="1680">
        <f t="shared" si="13"/>
        <v>1352521</v>
      </c>
      <c r="V35" s="1680">
        <f t="shared" si="13"/>
        <v>853806</v>
      </c>
      <c r="W35" s="1680">
        <f t="shared" si="13"/>
        <v>945364</v>
      </c>
      <c r="X35" s="1680">
        <f t="shared" si="13"/>
        <v>439444</v>
      </c>
      <c r="Y35" s="1680">
        <f t="shared" si="13"/>
        <v>586399</v>
      </c>
      <c r="Z35" s="1680">
        <f t="shared" si="13"/>
        <v>475374</v>
      </c>
    </row>
    <row r="36" spans="1:26" s="1483" customFormat="1" ht="33.75">
      <c r="A36" s="1689" t="s">
        <v>249</v>
      </c>
      <c r="B36" s="1670" t="s">
        <v>572</v>
      </c>
      <c r="C36" s="1693" t="s">
        <v>560</v>
      </c>
      <c r="D36" s="1680">
        <f t="shared" si="8"/>
        <v>10513932</v>
      </c>
      <c r="E36" s="1667">
        <f>'chi tiết (final)'!G151</f>
        <v>1950612</v>
      </c>
      <c r="F36" s="1667">
        <f>'chi tiết (final)'!H151</f>
        <v>0</v>
      </c>
      <c r="G36" s="1667">
        <f>'chi tiết (final)'!I151</f>
        <v>0</v>
      </c>
      <c r="H36" s="1667">
        <f>'chi tiết (final)'!J151</f>
        <v>1950612</v>
      </c>
      <c r="I36" s="1667">
        <f>'chi tiết (final)'!K151</f>
        <v>0</v>
      </c>
      <c r="J36" s="1667">
        <f>'chi tiết (final)'!L151</f>
        <v>0</v>
      </c>
      <c r="K36" s="1667"/>
      <c r="L36" s="1667"/>
      <c r="M36" s="1667"/>
      <c r="N36" s="1663">
        <f t="shared" si="9"/>
        <v>8563320</v>
      </c>
      <c r="O36" s="1667">
        <f>'chi tiết (final)'!N151</f>
        <v>750656</v>
      </c>
      <c r="P36" s="1667">
        <f>'chi tiết (final)'!O151</f>
        <v>285395</v>
      </c>
      <c r="Q36" s="1667">
        <f>'chi tiết (final)'!P151</f>
        <v>673000</v>
      </c>
      <c r="R36" s="1667">
        <f>'chi tiết (final)'!Q151</f>
        <v>1144184</v>
      </c>
      <c r="S36" s="1667">
        <f>'chi tiết (final)'!R151</f>
        <v>976400</v>
      </c>
      <c r="T36" s="1667">
        <f>'chi tiết (final)'!S151</f>
        <v>641253</v>
      </c>
      <c r="U36" s="1667">
        <f>'chi tiết (final)'!T151</f>
        <v>1214971</v>
      </c>
      <c r="V36" s="1667">
        <f>'chi tiết (final)'!U151</f>
        <v>757906</v>
      </c>
      <c r="W36" s="1667">
        <f>'chi tiết (final)'!V151</f>
        <v>862664</v>
      </c>
      <c r="X36" s="1667">
        <f>'chi tiết (final)'!W151</f>
        <v>364054</v>
      </c>
      <c r="Y36" s="1667">
        <f>'chi tiết (final)'!X151</f>
        <v>493783</v>
      </c>
      <c r="Z36" s="1667">
        <f>'chi tiết (final)'!Y151</f>
        <v>399054</v>
      </c>
    </row>
    <row r="37" spans="1:26" s="1483" customFormat="1" ht="22.5">
      <c r="A37" s="1689" t="s">
        <v>258</v>
      </c>
      <c r="B37" s="1670" t="s">
        <v>572</v>
      </c>
      <c r="C37" s="1694" t="s">
        <v>561</v>
      </c>
      <c r="D37" s="1680">
        <f t="shared" si="8"/>
        <v>4722956</v>
      </c>
      <c r="E37" s="1667">
        <f>'chi tiết (final)'!G167</f>
        <v>4193850</v>
      </c>
      <c r="F37" s="1667">
        <f>'chi tiết (final)'!H167</f>
        <v>0</v>
      </c>
      <c r="G37" s="1667">
        <f>'chi tiết (final)'!I167</f>
        <v>0</v>
      </c>
      <c r="H37" s="1667">
        <f>'chi tiết (final)'!J167</f>
        <v>4193850</v>
      </c>
      <c r="I37" s="1667">
        <f>'chi tiết (final)'!K167</f>
        <v>0</v>
      </c>
      <c r="J37" s="1667">
        <f>'chi tiết (final)'!L167</f>
        <v>0</v>
      </c>
      <c r="K37" s="1667"/>
      <c r="L37" s="1667"/>
      <c r="M37" s="1667"/>
      <c r="N37" s="1663">
        <f t="shared" si="9"/>
        <v>529106</v>
      </c>
      <c r="O37" s="1667">
        <f>'chi tiết (final)'!N167</f>
        <v>80320</v>
      </c>
      <c r="P37" s="1667">
        <f>'chi tiết (final)'!O167</f>
        <v>11620</v>
      </c>
      <c r="Q37" s="1667">
        <f>'chi tiết (final)'!P167</f>
        <v>44600</v>
      </c>
      <c r="R37" s="1667">
        <f>'chi tiết (final)'!Q167</f>
        <v>58000</v>
      </c>
      <c r="S37" s="1667">
        <f>'chi tiết (final)'!R167</f>
        <v>41600</v>
      </c>
      <c r="T37" s="1667">
        <f>'chi tiết (final)'!S167</f>
        <v>35000</v>
      </c>
      <c r="U37" s="1667">
        <f>'chi tiết (final)'!T167</f>
        <v>67500</v>
      </c>
      <c r="V37" s="1667">
        <f>'chi tiết (final)'!U167</f>
        <v>44900</v>
      </c>
      <c r="W37" s="1667">
        <f>'chi tiết (final)'!V167</f>
        <v>29900</v>
      </c>
      <c r="X37" s="1667">
        <f>'chi tiết (final)'!W167</f>
        <v>37650</v>
      </c>
      <c r="Y37" s="1667">
        <f>'chi tiết (final)'!X167</f>
        <v>39916</v>
      </c>
      <c r="Z37" s="1667">
        <f>'chi tiết (final)'!Y167</f>
        <v>38100</v>
      </c>
    </row>
    <row r="38" spans="1:26" s="1483" customFormat="1" ht="33.75">
      <c r="A38" s="1689" t="s">
        <v>277</v>
      </c>
      <c r="B38" s="1670" t="s">
        <v>572</v>
      </c>
      <c r="C38" s="1694" t="s">
        <v>26</v>
      </c>
      <c r="D38" s="1680">
        <f t="shared" si="8"/>
        <v>905336</v>
      </c>
      <c r="E38" s="1667">
        <f>'chi tiết (final)'!G179</f>
        <v>84200</v>
      </c>
      <c r="F38" s="1667">
        <f>'chi tiết (final)'!H179</f>
        <v>0</v>
      </c>
      <c r="G38" s="1667">
        <f>'chi tiết (final)'!I179</f>
        <v>0</v>
      </c>
      <c r="H38" s="1667">
        <f>'chi tiết (final)'!J179</f>
        <v>84200</v>
      </c>
      <c r="I38" s="1667">
        <f>'chi tiết (final)'!K179</f>
        <v>0</v>
      </c>
      <c r="J38" s="1667">
        <f>'chi tiết (final)'!L179</f>
        <v>0</v>
      </c>
      <c r="K38" s="1667"/>
      <c r="L38" s="1667"/>
      <c r="M38" s="1667"/>
      <c r="N38" s="1663">
        <f t="shared" si="9"/>
        <v>821136</v>
      </c>
      <c r="O38" s="1667">
        <f>'chi tiết (final)'!N179</f>
        <v>131300</v>
      </c>
      <c r="P38" s="1667">
        <f>'chi tiết (final)'!O179</f>
        <v>33960</v>
      </c>
      <c r="Q38" s="1667">
        <f>'chi tiết (final)'!P179</f>
        <v>74160</v>
      </c>
      <c r="R38" s="1667">
        <f>'chi tiết (final)'!Q179</f>
        <v>168670</v>
      </c>
      <c r="S38" s="1667">
        <f>'chi tiết (final)'!R179</f>
        <v>74236</v>
      </c>
      <c r="T38" s="1667">
        <f>'chi tiết (final)'!S179</f>
        <v>36300</v>
      </c>
      <c r="U38" s="1667">
        <f>'chi tiết (final)'!T179</f>
        <v>70050</v>
      </c>
      <c r="V38" s="1667">
        <f>'chi tiết (final)'!U179</f>
        <v>51000</v>
      </c>
      <c r="W38" s="1667">
        <f>'chi tiết (final)'!V179</f>
        <v>52800</v>
      </c>
      <c r="X38" s="1667">
        <f>'chi tiết (final)'!W179</f>
        <v>37740</v>
      </c>
      <c r="Y38" s="1667">
        <f>'chi tiết (final)'!X179</f>
        <v>52700</v>
      </c>
      <c r="Z38" s="1667">
        <f>'chi tiết (final)'!Y179</f>
        <v>38220</v>
      </c>
    </row>
    <row r="39" spans="1:26" ht="45">
      <c r="A39" s="1690">
        <v>7</v>
      </c>
      <c r="B39" s="1690" t="s">
        <v>4</v>
      </c>
      <c r="C39" s="1695" t="s">
        <v>25</v>
      </c>
      <c r="D39" s="1680">
        <f t="shared" si="8"/>
        <v>598903</v>
      </c>
      <c r="E39" s="1680">
        <f>'chi tiết (final)'!G185</f>
        <v>196899</v>
      </c>
      <c r="F39" s="1680">
        <f>'chi tiết (final)'!H185</f>
        <v>0</v>
      </c>
      <c r="G39" s="1680">
        <f>'chi tiết (final)'!I185</f>
        <v>0</v>
      </c>
      <c r="H39" s="1680">
        <f>'chi tiết (final)'!J185</f>
        <v>0</v>
      </c>
      <c r="I39" s="1680">
        <f>'chi tiết (final)'!K185</f>
        <v>0</v>
      </c>
      <c r="J39" s="1680">
        <f>'chi tiết (final)'!L185</f>
        <v>196899</v>
      </c>
      <c r="K39" s="1680"/>
      <c r="L39" s="1680"/>
      <c r="M39" s="1680"/>
      <c r="N39" s="1663">
        <f t="shared" si="9"/>
        <v>402004</v>
      </c>
      <c r="O39" s="1680">
        <f>'chi tiết (final)'!N185</f>
        <v>129971</v>
      </c>
      <c r="P39" s="1680">
        <f>'chi tiết (final)'!O185</f>
        <v>8000</v>
      </c>
      <c r="Q39" s="1680">
        <f>'chi tiết (final)'!P185</f>
        <v>4678</v>
      </c>
      <c r="R39" s="1680">
        <f>'chi tiết (final)'!Q185</f>
        <v>129000</v>
      </c>
      <c r="S39" s="1680">
        <f>'chi tiết (final)'!R185</f>
        <v>24080</v>
      </c>
      <c r="T39" s="1680">
        <f>'chi tiết (final)'!S185</f>
        <v>26826</v>
      </c>
      <c r="U39" s="1680">
        <f>'chi tiết (final)'!T185</f>
        <v>16829</v>
      </c>
      <c r="V39" s="1680">
        <f>'chi tiết (final)'!U185</f>
        <v>0</v>
      </c>
      <c r="W39" s="1680">
        <f>'chi tiết (final)'!V185</f>
        <v>3660</v>
      </c>
      <c r="X39" s="1680">
        <f>'chi tiết (final)'!W185</f>
        <v>31950</v>
      </c>
      <c r="Y39" s="1680">
        <f>'chi tiết (final)'!X185</f>
        <v>5650</v>
      </c>
      <c r="Z39" s="1680">
        <f>'chi tiết (final)'!Y185</f>
        <v>21360</v>
      </c>
    </row>
    <row r="40" spans="1:26" ht="33.75">
      <c r="A40" s="1696">
        <v>8</v>
      </c>
      <c r="B40" s="1696" t="s">
        <v>34</v>
      </c>
      <c r="C40" s="1679" t="s">
        <v>533</v>
      </c>
      <c r="D40" s="1680">
        <f t="shared" si="8"/>
        <v>615705</v>
      </c>
      <c r="E40" s="1680">
        <f>'chi tiết (final)'!G191</f>
        <v>260150</v>
      </c>
      <c r="F40" s="1680">
        <f>'chi tiết (final)'!H191</f>
        <v>260150</v>
      </c>
      <c r="G40" s="1680">
        <f>'chi tiết (final)'!I191</f>
        <v>0</v>
      </c>
      <c r="H40" s="1680">
        <f>'chi tiết (final)'!J191</f>
        <v>0</v>
      </c>
      <c r="I40" s="1680">
        <f>'chi tiết (final)'!K191</f>
        <v>0</v>
      </c>
      <c r="J40" s="1680">
        <f>'chi tiết (final)'!L191</f>
        <v>0</v>
      </c>
      <c r="K40" s="1680"/>
      <c r="L40" s="1680"/>
      <c r="M40" s="1680"/>
      <c r="N40" s="1663">
        <f t="shared" si="9"/>
        <v>355555</v>
      </c>
      <c r="O40" s="1680">
        <f>'chi tiết (final)'!N191</f>
        <v>229848</v>
      </c>
      <c r="P40" s="1680">
        <f>'chi tiết (final)'!O191</f>
        <v>62900</v>
      </c>
      <c r="Q40" s="1680">
        <f>'chi tiết (final)'!P191</f>
        <v>143565</v>
      </c>
      <c r="R40" s="1680">
        <f>'chi tiết (final)'!Q191</f>
        <v>35600</v>
      </c>
      <c r="S40" s="1680">
        <f>'chi tiết (final)'!R191</f>
        <v>95136</v>
      </c>
      <c r="T40" s="1680">
        <f>'chi tiết (final)'!S191</f>
        <v>52040</v>
      </c>
      <c r="U40" s="1680">
        <f>'chi tiết (final)'!T191</f>
        <v>17875</v>
      </c>
      <c r="V40" s="1680">
        <f>'chi tiết (final)'!U191</f>
        <v>87264</v>
      </c>
      <c r="W40" s="1692">
        <f>'chi tiết (final)'!V191-600000</f>
        <v>-533033</v>
      </c>
      <c r="X40" s="1680">
        <f>'chi tiết (final)'!W191</f>
        <v>66210</v>
      </c>
      <c r="Y40" s="1680">
        <f>'chi tiết (final)'!X191</f>
        <v>62650</v>
      </c>
      <c r="Z40" s="1680">
        <f>'chi tiết (final)'!Y191</f>
        <v>35500</v>
      </c>
    </row>
    <row r="41" spans="1:26" ht="33.75">
      <c r="A41" s="1696">
        <v>9</v>
      </c>
      <c r="B41" s="1696" t="s">
        <v>34</v>
      </c>
      <c r="C41" s="1679" t="s">
        <v>27</v>
      </c>
      <c r="D41" s="1680">
        <f t="shared" si="8"/>
        <v>1210007</v>
      </c>
      <c r="E41" s="1680">
        <f t="shared" ref="E41:Y41" si="14">E42+E43</f>
        <v>285000</v>
      </c>
      <c r="F41" s="1680">
        <f t="shared" si="14"/>
        <v>285000</v>
      </c>
      <c r="G41" s="1680">
        <f t="shared" si="14"/>
        <v>0</v>
      </c>
      <c r="H41" s="1680">
        <f t="shared" si="14"/>
        <v>0</v>
      </c>
      <c r="I41" s="1680">
        <f t="shared" si="14"/>
        <v>0</v>
      </c>
      <c r="J41" s="1680">
        <f t="shared" si="14"/>
        <v>0</v>
      </c>
      <c r="K41" s="1680"/>
      <c r="L41" s="1680"/>
      <c r="M41" s="1680"/>
      <c r="N41" s="1663">
        <f t="shared" si="9"/>
        <v>925007</v>
      </c>
      <c r="O41" s="1680">
        <f t="shared" si="14"/>
        <v>61700</v>
      </c>
      <c r="P41" s="1680">
        <f t="shared" si="14"/>
        <v>22000</v>
      </c>
      <c r="Q41" s="1680">
        <f t="shared" si="14"/>
        <v>50200</v>
      </c>
      <c r="R41" s="1680">
        <f t="shared" si="14"/>
        <v>20000</v>
      </c>
      <c r="S41" s="1680">
        <f t="shared" si="14"/>
        <v>55594</v>
      </c>
      <c r="T41" s="1680">
        <f t="shared" si="14"/>
        <v>71495</v>
      </c>
      <c r="U41" s="1680">
        <f t="shared" si="14"/>
        <v>164640</v>
      </c>
      <c r="V41" s="1680">
        <f t="shared" si="14"/>
        <v>136378</v>
      </c>
      <c r="W41" s="1680">
        <f t="shared" si="14"/>
        <v>142720</v>
      </c>
      <c r="X41" s="1680">
        <f t="shared" si="14"/>
        <v>84680</v>
      </c>
      <c r="Y41" s="1680">
        <f t="shared" si="14"/>
        <v>76490</v>
      </c>
      <c r="Z41" s="1680">
        <f>Z42+Z43</f>
        <v>39110</v>
      </c>
    </row>
    <row r="42" spans="1:26" s="1483" customFormat="1" ht="22.5">
      <c r="A42" s="1689" t="s">
        <v>259</v>
      </c>
      <c r="B42" s="1686" t="s">
        <v>34</v>
      </c>
      <c r="C42" s="1694" t="s">
        <v>129</v>
      </c>
      <c r="D42" s="1680">
        <f t="shared" si="8"/>
        <v>988897</v>
      </c>
      <c r="E42" s="1667">
        <f>'chi tiết (final)'!G214</f>
        <v>146000</v>
      </c>
      <c r="F42" s="1667">
        <f>'chi tiết (final)'!H214</f>
        <v>146000</v>
      </c>
      <c r="G42" s="1667">
        <f>'chi tiết (final)'!I214</f>
        <v>0</v>
      </c>
      <c r="H42" s="1667">
        <f>'chi tiết (final)'!J214</f>
        <v>0</v>
      </c>
      <c r="I42" s="1667">
        <f>'chi tiết (final)'!K214</f>
        <v>0</v>
      </c>
      <c r="J42" s="1667">
        <f>'chi tiết (final)'!L214</f>
        <v>0</v>
      </c>
      <c r="K42" s="1667"/>
      <c r="L42" s="1667"/>
      <c r="M42" s="1667"/>
      <c r="N42" s="1663">
        <f t="shared" si="9"/>
        <v>842897</v>
      </c>
      <c r="O42" s="1667">
        <f>'chi tiết (final)'!N214</f>
        <v>51600</v>
      </c>
      <c r="P42" s="1667">
        <f>'chi tiết (final)'!O214</f>
        <v>19000</v>
      </c>
      <c r="Q42" s="1667">
        <f>'chi tiết (final)'!P214</f>
        <v>47200</v>
      </c>
      <c r="R42" s="1667">
        <f>'chi tiết (final)'!Q214</f>
        <v>16500</v>
      </c>
      <c r="S42" s="1667">
        <f>'chi tiết (final)'!R214</f>
        <v>52094</v>
      </c>
      <c r="T42" s="1667">
        <f>'chi tiết (final)'!S214</f>
        <v>55865</v>
      </c>
      <c r="U42" s="1667">
        <f>'chi tiết (final)'!T214</f>
        <v>156340</v>
      </c>
      <c r="V42" s="1667">
        <f>'chi tiết (final)'!U214</f>
        <v>127178</v>
      </c>
      <c r="W42" s="1667">
        <f>'chi tiết (final)'!V214</f>
        <v>135960</v>
      </c>
      <c r="X42" s="1667">
        <f>'chi tiết (final)'!W214</f>
        <v>76960</v>
      </c>
      <c r="Y42" s="1667">
        <f>'chi tiết (final)'!X214</f>
        <v>70990</v>
      </c>
      <c r="Z42" s="1667">
        <f>'chi tiết (final)'!Y214</f>
        <v>33210</v>
      </c>
    </row>
    <row r="43" spans="1:26" s="1483" customFormat="1" ht="22.5">
      <c r="A43" s="1689" t="s">
        <v>260</v>
      </c>
      <c r="B43" s="1686" t="s">
        <v>34</v>
      </c>
      <c r="C43" s="1694" t="s">
        <v>130</v>
      </c>
      <c r="D43" s="1680">
        <f t="shared" si="8"/>
        <v>221110</v>
      </c>
      <c r="E43" s="1667">
        <f>'chi tiết (final)'!G225</f>
        <v>139000</v>
      </c>
      <c r="F43" s="1667">
        <f>'chi tiết (final)'!H225</f>
        <v>139000</v>
      </c>
      <c r="G43" s="1667">
        <f>'chi tiết (final)'!I225</f>
        <v>0</v>
      </c>
      <c r="H43" s="1667">
        <f>'chi tiết (final)'!J225</f>
        <v>0</v>
      </c>
      <c r="I43" s="1667">
        <f>'chi tiết (final)'!K225</f>
        <v>0</v>
      </c>
      <c r="J43" s="1667">
        <f>'chi tiết (final)'!L225</f>
        <v>0</v>
      </c>
      <c r="K43" s="1667"/>
      <c r="L43" s="1667"/>
      <c r="M43" s="1667"/>
      <c r="N43" s="1663">
        <f t="shared" si="9"/>
        <v>82110</v>
      </c>
      <c r="O43" s="1667">
        <f>'chi tiết (final)'!N225</f>
        <v>10100</v>
      </c>
      <c r="P43" s="1667">
        <f>'chi tiết (final)'!O225</f>
        <v>3000</v>
      </c>
      <c r="Q43" s="1667">
        <f>'chi tiết (final)'!P225</f>
        <v>3000</v>
      </c>
      <c r="R43" s="1667">
        <f>'chi tiết (final)'!Q225</f>
        <v>3500</v>
      </c>
      <c r="S43" s="1667">
        <f>'chi tiết (final)'!R225</f>
        <v>3500</v>
      </c>
      <c r="T43" s="1667">
        <f>'chi tiết (final)'!S225</f>
        <v>15630</v>
      </c>
      <c r="U43" s="1667">
        <f>'chi tiết (final)'!T225</f>
        <v>8300</v>
      </c>
      <c r="V43" s="1667">
        <f>'chi tiết (final)'!U225</f>
        <v>9200</v>
      </c>
      <c r="W43" s="1667">
        <f>'chi tiết (final)'!V225</f>
        <v>6760</v>
      </c>
      <c r="X43" s="1667">
        <f>'chi tiết (final)'!W225</f>
        <v>7720</v>
      </c>
      <c r="Y43" s="1667">
        <f>'chi tiết (final)'!X225</f>
        <v>5500</v>
      </c>
      <c r="Z43" s="1667">
        <f>'chi tiết (final)'!Y225</f>
        <v>5900</v>
      </c>
    </row>
    <row r="44" spans="1:26" ht="22.5">
      <c r="A44" s="1685">
        <v>10</v>
      </c>
      <c r="B44" s="1696" t="s">
        <v>34</v>
      </c>
      <c r="C44" s="1679" t="s">
        <v>238</v>
      </c>
      <c r="D44" s="1680">
        <f t="shared" si="8"/>
        <v>1994947</v>
      </c>
      <c r="E44" s="1680">
        <f t="shared" ref="E44:Z44" si="15">E45+E46+E47</f>
        <v>1377860</v>
      </c>
      <c r="F44" s="1680">
        <f t="shared" si="15"/>
        <v>20000</v>
      </c>
      <c r="G44" s="1680">
        <f t="shared" si="15"/>
        <v>1357860</v>
      </c>
      <c r="H44" s="1680">
        <f t="shared" si="15"/>
        <v>0</v>
      </c>
      <c r="I44" s="1680">
        <f t="shared" si="15"/>
        <v>0</v>
      </c>
      <c r="J44" s="1680">
        <f t="shared" si="15"/>
        <v>0</v>
      </c>
      <c r="K44" s="1680"/>
      <c r="L44" s="1680"/>
      <c r="M44" s="1680"/>
      <c r="N44" s="1663">
        <f t="shared" si="9"/>
        <v>617087</v>
      </c>
      <c r="O44" s="1680">
        <f t="shared" si="15"/>
        <v>123400</v>
      </c>
      <c r="P44" s="1680">
        <f t="shared" si="15"/>
        <v>90000</v>
      </c>
      <c r="Q44" s="1680">
        <f t="shared" si="15"/>
        <v>8700</v>
      </c>
      <c r="R44" s="1680">
        <f t="shared" si="15"/>
        <v>24220</v>
      </c>
      <c r="S44" s="1680">
        <f t="shared" si="15"/>
        <v>55180</v>
      </c>
      <c r="T44" s="1680">
        <f t="shared" si="15"/>
        <v>42000</v>
      </c>
      <c r="U44" s="1680">
        <f t="shared" si="15"/>
        <v>4547</v>
      </c>
      <c r="V44" s="1680">
        <f t="shared" si="15"/>
        <v>32440</v>
      </c>
      <c r="W44" s="1680">
        <f t="shared" si="15"/>
        <v>41826</v>
      </c>
      <c r="X44" s="1680">
        <f t="shared" si="15"/>
        <v>34010</v>
      </c>
      <c r="Y44" s="1680">
        <f t="shared" si="15"/>
        <v>85764</v>
      </c>
      <c r="Z44" s="1680">
        <f t="shared" si="15"/>
        <v>75000</v>
      </c>
    </row>
    <row r="45" spans="1:26" s="1483" customFormat="1" ht="45">
      <c r="A45" s="1686" t="s">
        <v>583</v>
      </c>
      <c r="B45" s="1686" t="s">
        <v>34</v>
      </c>
      <c r="C45" s="1681" t="s">
        <v>28</v>
      </c>
      <c r="D45" s="1680">
        <f t="shared" si="8"/>
        <v>20000</v>
      </c>
      <c r="E45" s="1667">
        <f>'chi tiết (final)'!G230</f>
        <v>20000</v>
      </c>
      <c r="F45" s="1667">
        <f>'chi tiết (final)'!H230</f>
        <v>20000</v>
      </c>
      <c r="G45" s="1667">
        <f>'chi tiết (final)'!I230</f>
        <v>0</v>
      </c>
      <c r="H45" s="1667">
        <f>'chi tiết (final)'!J230</f>
        <v>0</v>
      </c>
      <c r="I45" s="1667">
        <f>'chi tiết (final)'!K230</f>
        <v>0</v>
      </c>
      <c r="J45" s="1667">
        <f>'chi tiết (final)'!L230</f>
        <v>0</v>
      </c>
      <c r="K45" s="1667"/>
      <c r="L45" s="1667"/>
      <c r="M45" s="1667"/>
      <c r="N45" s="1663">
        <f t="shared" si="9"/>
        <v>0</v>
      </c>
      <c r="O45" s="1667">
        <f>'chi tiết (final)'!N230</f>
        <v>0</v>
      </c>
      <c r="P45" s="1667">
        <f>'chi tiết (final)'!O230</f>
        <v>0</v>
      </c>
      <c r="Q45" s="1667">
        <f>'chi tiết (final)'!P230</f>
        <v>0</v>
      </c>
      <c r="R45" s="1667">
        <f>'chi tiết (final)'!Q230</f>
        <v>0</v>
      </c>
      <c r="S45" s="1667">
        <f>'chi tiết (final)'!R230</f>
        <v>0</v>
      </c>
      <c r="T45" s="1667">
        <f>'chi tiết (final)'!S230</f>
        <v>0</v>
      </c>
      <c r="U45" s="1667">
        <f>'chi tiết (final)'!T230</f>
        <v>0</v>
      </c>
      <c r="V45" s="1667">
        <f>'chi tiết (final)'!U230</f>
        <v>0</v>
      </c>
      <c r="W45" s="1667">
        <f>'chi tiết (final)'!V230</f>
        <v>0</v>
      </c>
      <c r="X45" s="1667">
        <f>'chi tiết (final)'!W230</f>
        <v>0</v>
      </c>
      <c r="Y45" s="1667">
        <f>'chi tiết (final)'!X230</f>
        <v>0</v>
      </c>
      <c r="Z45" s="1667">
        <f>'chi tiết (final)'!Y230</f>
        <v>0</v>
      </c>
    </row>
    <row r="46" spans="1:26" s="1483" customFormat="1" ht="45">
      <c r="A46" s="1697" t="s">
        <v>584</v>
      </c>
      <c r="B46" s="1686" t="s">
        <v>1</v>
      </c>
      <c r="C46" s="1681" t="s">
        <v>28</v>
      </c>
      <c r="D46" s="1680">
        <f t="shared" si="8"/>
        <v>1974947</v>
      </c>
      <c r="E46" s="1667">
        <f>'chi tiết (final)'!G233</f>
        <v>1357860</v>
      </c>
      <c r="F46" s="1667">
        <f>'chi tiết (final)'!H233</f>
        <v>0</v>
      </c>
      <c r="G46" s="1667">
        <f>'chi tiết (final)'!I233</f>
        <v>1357860</v>
      </c>
      <c r="H46" s="1667">
        <f>'chi tiết (final)'!J233</f>
        <v>0</v>
      </c>
      <c r="I46" s="1667">
        <f>'chi tiết (final)'!K233</f>
        <v>0</v>
      </c>
      <c r="J46" s="1667">
        <f>'chi tiết (final)'!L233</f>
        <v>0</v>
      </c>
      <c r="K46" s="1667"/>
      <c r="L46" s="1667"/>
      <c r="M46" s="1667"/>
      <c r="N46" s="1663">
        <f t="shared" si="9"/>
        <v>617087</v>
      </c>
      <c r="O46" s="1667">
        <f>'chi tiết (final)'!N233</f>
        <v>123400</v>
      </c>
      <c r="P46" s="1667">
        <f>'chi tiết (final)'!O233</f>
        <v>90000</v>
      </c>
      <c r="Q46" s="1667">
        <f>'chi tiết (final)'!P233</f>
        <v>8700</v>
      </c>
      <c r="R46" s="1667">
        <f>'chi tiết (final)'!Q233</f>
        <v>24220</v>
      </c>
      <c r="S46" s="1667">
        <f>'chi tiết (final)'!R233</f>
        <v>55180</v>
      </c>
      <c r="T46" s="1667">
        <f>'chi tiết (final)'!S233</f>
        <v>42000</v>
      </c>
      <c r="U46" s="1667">
        <f>'chi tiết (final)'!T233</f>
        <v>4547</v>
      </c>
      <c r="V46" s="1667">
        <f>'chi tiết (final)'!U233</f>
        <v>32440</v>
      </c>
      <c r="W46" s="1667">
        <f>'chi tiết (final)'!V233</f>
        <v>41826</v>
      </c>
      <c r="X46" s="1667">
        <f>'chi tiết (final)'!W233</f>
        <v>34010</v>
      </c>
      <c r="Y46" s="1667">
        <f>'chi tiết (final)'!X233</f>
        <v>85764</v>
      </c>
      <c r="Z46" s="1667">
        <f>'chi tiết (final)'!Y233</f>
        <v>75000</v>
      </c>
    </row>
    <row r="47" spans="1:26" s="1483" customFormat="1" ht="45">
      <c r="A47" s="1686" t="s">
        <v>255</v>
      </c>
      <c r="B47" s="1686" t="s">
        <v>34</v>
      </c>
      <c r="C47" s="1687" t="s">
        <v>30</v>
      </c>
      <c r="D47" s="1680">
        <f t="shared" si="8"/>
        <v>0</v>
      </c>
      <c r="E47" s="1667">
        <f>F47+O47</f>
        <v>0</v>
      </c>
      <c r="F47" s="1667">
        <f>G47+P47</f>
        <v>0</v>
      </c>
      <c r="G47" s="1667">
        <f>H47+Q47</f>
        <v>0</v>
      </c>
      <c r="H47" s="1667">
        <f>I47+R47</f>
        <v>0</v>
      </c>
      <c r="I47" s="1667">
        <f>J47+S47</f>
        <v>0</v>
      </c>
      <c r="J47" s="1667">
        <f>N47+T47</f>
        <v>0</v>
      </c>
      <c r="K47" s="1667"/>
      <c r="L47" s="1667"/>
      <c r="M47" s="1667"/>
      <c r="N47" s="1663">
        <f t="shared" si="9"/>
        <v>0</v>
      </c>
      <c r="O47" s="1667">
        <f t="shared" ref="O47:Z47" si="16">P47+V47</f>
        <v>0</v>
      </c>
      <c r="P47" s="1667">
        <f t="shared" si="16"/>
        <v>0</v>
      </c>
      <c r="Q47" s="1667">
        <f t="shared" si="16"/>
        <v>0</v>
      </c>
      <c r="R47" s="1667">
        <f t="shared" si="16"/>
        <v>0</v>
      </c>
      <c r="S47" s="1667">
        <f t="shared" si="16"/>
        <v>0</v>
      </c>
      <c r="T47" s="1667">
        <f t="shared" si="16"/>
        <v>0</v>
      </c>
      <c r="U47" s="1667">
        <f t="shared" si="16"/>
        <v>0</v>
      </c>
      <c r="V47" s="1667">
        <f t="shared" si="16"/>
        <v>0</v>
      </c>
      <c r="W47" s="1667">
        <f t="shared" si="16"/>
        <v>0</v>
      </c>
      <c r="X47" s="1667">
        <f t="shared" si="16"/>
        <v>0</v>
      </c>
      <c r="Y47" s="1667">
        <f t="shared" si="16"/>
        <v>0</v>
      </c>
      <c r="Z47" s="1667">
        <f t="shared" si="16"/>
        <v>0</v>
      </c>
    </row>
    <row r="48" spans="1:26" ht="22.5">
      <c r="A48" s="1685">
        <v>11</v>
      </c>
      <c r="B48" s="1696" t="s">
        <v>34</v>
      </c>
      <c r="C48" s="1679" t="s">
        <v>312</v>
      </c>
      <c r="D48" s="1680">
        <f t="shared" si="8"/>
        <v>3742086</v>
      </c>
      <c r="E48" s="1680">
        <f>'chi tiết (final)'!G247</f>
        <v>2713000</v>
      </c>
      <c r="F48" s="1680">
        <f>'chi tiết (final)'!H247</f>
        <v>2713000</v>
      </c>
      <c r="G48" s="1680">
        <f>'chi tiết (final)'!I247</f>
        <v>0</v>
      </c>
      <c r="H48" s="1680">
        <f>'chi tiết (final)'!J247</f>
        <v>0</v>
      </c>
      <c r="I48" s="1680">
        <f>'chi tiết (final)'!K247</f>
        <v>0</v>
      </c>
      <c r="J48" s="1680">
        <f>'chi tiết (final)'!L247</f>
        <v>0</v>
      </c>
      <c r="K48" s="1680"/>
      <c r="L48" s="1680"/>
      <c r="M48" s="1680"/>
      <c r="N48" s="1663">
        <f t="shared" si="9"/>
        <v>1029086</v>
      </c>
      <c r="O48" s="1680">
        <f>'chi tiết (final)'!N247</f>
        <v>179400</v>
      </c>
      <c r="P48" s="1680">
        <f>'chi tiết (final)'!O247</f>
        <v>36000</v>
      </c>
      <c r="Q48" s="1680">
        <f>'chi tiết (final)'!P247</f>
        <v>2400</v>
      </c>
      <c r="R48" s="1680">
        <f>'chi tiết (final)'!Q247</f>
        <v>43390</v>
      </c>
      <c r="S48" s="1680">
        <f>'chi tiết (final)'!R247</f>
        <v>63376</v>
      </c>
      <c r="T48" s="1680">
        <f>'chi tiết (final)'!S247</f>
        <v>72110</v>
      </c>
      <c r="U48" s="1680">
        <f>'chi tiết (final)'!T247</f>
        <v>90500</v>
      </c>
      <c r="V48" s="1680">
        <f>'chi tiết (final)'!U247</f>
        <v>106130</v>
      </c>
      <c r="W48" s="1680">
        <f>'chi tiết (final)'!V247</f>
        <v>230620</v>
      </c>
      <c r="X48" s="1680">
        <f>'chi tiết (final)'!W247</f>
        <v>28000</v>
      </c>
      <c r="Y48" s="1680">
        <f>'chi tiết (final)'!X247</f>
        <v>94116</v>
      </c>
      <c r="Z48" s="1680">
        <f>'chi tiết (final)'!Y247</f>
        <v>83044</v>
      </c>
    </row>
    <row r="49" spans="1:26" ht="22.5">
      <c r="A49" s="1698">
        <v>12</v>
      </c>
      <c r="B49" s="1696" t="s">
        <v>34</v>
      </c>
      <c r="C49" s="1699" t="s">
        <v>22</v>
      </c>
      <c r="D49" s="1680">
        <f t="shared" si="8"/>
        <v>1279464.2</v>
      </c>
      <c r="E49" s="1680">
        <f>'chi tiết (final)'!G261</f>
        <v>380000</v>
      </c>
      <c r="F49" s="1680">
        <f>'chi tiết (final)'!H261</f>
        <v>380000</v>
      </c>
      <c r="G49" s="1680">
        <f>'chi tiết (final)'!I261</f>
        <v>0</v>
      </c>
      <c r="H49" s="1680">
        <f>'chi tiết (final)'!J261</f>
        <v>0</v>
      </c>
      <c r="I49" s="1680">
        <f>'chi tiết (final)'!K261</f>
        <v>0</v>
      </c>
      <c r="J49" s="1680">
        <f>'chi tiết (final)'!L261</f>
        <v>0</v>
      </c>
      <c r="K49" s="1680"/>
      <c r="L49" s="1680"/>
      <c r="M49" s="1680"/>
      <c r="N49" s="1663">
        <f t="shared" si="9"/>
        <v>899464.2</v>
      </c>
      <c r="O49" s="1692">
        <f>'chi tiết (final)'!N261-300000</f>
        <v>-114357</v>
      </c>
      <c r="P49" s="1680">
        <f>'chi tiết (final)'!O261</f>
        <v>37314</v>
      </c>
      <c r="Q49" s="1680">
        <f>'chi tiết (final)'!P261</f>
        <v>20344</v>
      </c>
      <c r="R49" s="1680">
        <f>'chi tiết (final)'!Q261</f>
        <v>109438</v>
      </c>
      <c r="S49" s="1680">
        <f>'chi tiết (final)'!R261</f>
        <v>138000</v>
      </c>
      <c r="T49" s="1680">
        <f>'chi tiết (final)'!S261</f>
        <v>41214.199999999997</v>
      </c>
      <c r="U49" s="1680">
        <f>'chi tiết (final)'!T261</f>
        <v>109104</v>
      </c>
      <c r="V49" s="1680">
        <f>'chi tiết (final)'!U261</f>
        <v>178678</v>
      </c>
      <c r="W49" s="1680">
        <f>'chi tiết (final)'!V261</f>
        <v>152189</v>
      </c>
      <c r="X49" s="1680">
        <f>'chi tiết (final)'!W261</f>
        <v>110300</v>
      </c>
      <c r="Y49" s="1680">
        <f>'chi tiết (final)'!X261</f>
        <v>57500</v>
      </c>
      <c r="Z49" s="1680">
        <f>'chi tiết (final)'!Y261</f>
        <v>59740</v>
      </c>
    </row>
    <row r="50" spans="1:26" ht="22.5">
      <c r="A50" s="1685">
        <v>13</v>
      </c>
      <c r="B50" s="1685" t="s">
        <v>582</v>
      </c>
      <c r="C50" s="1679" t="s">
        <v>256</v>
      </c>
      <c r="D50" s="1680">
        <f t="shared" si="8"/>
        <v>100000</v>
      </c>
      <c r="E50" s="1680">
        <f>'chi tiết (final)'!G268</f>
        <v>100000</v>
      </c>
      <c r="F50" s="1680">
        <f>'chi tiết (final)'!H268</f>
        <v>0</v>
      </c>
      <c r="G50" s="1680">
        <f>'chi tiết (final)'!I268</f>
        <v>0</v>
      </c>
      <c r="H50" s="1680">
        <f>'chi tiết (final)'!J268</f>
        <v>0</v>
      </c>
      <c r="I50" s="1680">
        <f>'chi tiết (final)'!K268</f>
        <v>100000</v>
      </c>
      <c r="J50" s="1680">
        <f>'chi tiết (final)'!L268</f>
        <v>0</v>
      </c>
      <c r="K50" s="1680"/>
      <c r="L50" s="1680"/>
      <c r="M50" s="1680"/>
      <c r="N50" s="1663">
        <f t="shared" si="9"/>
        <v>0</v>
      </c>
      <c r="O50" s="1680">
        <f>'chi tiết (final)'!N268</f>
        <v>0</v>
      </c>
      <c r="P50" s="1680">
        <f>'chi tiết (final)'!O268</f>
        <v>0</v>
      </c>
      <c r="Q50" s="1680">
        <f>'chi tiết (final)'!P268</f>
        <v>0</v>
      </c>
      <c r="R50" s="1680">
        <f>'chi tiết (final)'!Q268</f>
        <v>0</v>
      </c>
      <c r="S50" s="1680">
        <f>'chi tiết (final)'!R268</f>
        <v>0</v>
      </c>
      <c r="T50" s="1680">
        <f>'chi tiết (final)'!S268</f>
        <v>0</v>
      </c>
      <c r="U50" s="1680">
        <f>'chi tiết (final)'!T268</f>
        <v>0</v>
      </c>
      <c r="V50" s="1680">
        <f>'chi tiết (final)'!U268</f>
        <v>0</v>
      </c>
      <c r="W50" s="1680">
        <f>'chi tiết (final)'!V268</f>
        <v>0</v>
      </c>
      <c r="X50" s="1680">
        <f>'chi tiết (final)'!W268</f>
        <v>0</v>
      </c>
      <c r="Y50" s="1680">
        <f>'chi tiết (final)'!X268</f>
        <v>0</v>
      </c>
      <c r="Z50" s="1680">
        <f>'chi tiết (final)'!Y268</f>
        <v>0</v>
      </c>
    </row>
    <row r="51" spans="1:26" ht="22.5">
      <c r="A51" s="1685">
        <v>14</v>
      </c>
      <c r="B51" s="1685" t="s">
        <v>582</v>
      </c>
      <c r="C51" s="1679" t="s">
        <v>239</v>
      </c>
      <c r="D51" s="1680">
        <f t="shared" si="8"/>
        <v>104920</v>
      </c>
      <c r="E51" s="1680">
        <f>'chi tiết (final)'!G270</f>
        <v>104920</v>
      </c>
      <c r="F51" s="1680">
        <f>'chi tiết (final)'!H270</f>
        <v>0</v>
      </c>
      <c r="G51" s="1680">
        <f>'chi tiết (final)'!I270</f>
        <v>0</v>
      </c>
      <c r="H51" s="1680">
        <f>'chi tiết (final)'!J270</f>
        <v>0</v>
      </c>
      <c r="I51" s="1680">
        <f>'chi tiết (final)'!K270</f>
        <v>104920</v>
      </c>
      <c r="J51" s="1680">
        <f>'chi tiết (final)'!L270</f>
        <v>0</v>
      </c>
      <c r="K51" s="1680"/>
      <c r="L51" s="1680"/>
      <c r="M51" s="1680"/>
      <c r="N51" s="1663">
        <f t="shared" si="9"/>
        <v>0</v>
      </c>
      <c r="O51" s="1680">
        <f>'chi tiết (final)'!N270</f>
        <v>0</v>
      </c>
      <c r="P51" s="1680">
        <f>'chi tiết (final)'!O270</f>
        <v>0</v>
      </c>
      <c r="Q51" s="1680">
        <f>'chi tiết (final)'!P270</f>
        <v>0</v>
      </c>
      <c r="R51" s="1680">
        <f>'chi tiết (final)'!Q270</f>
        <v>0</v>
      </c>
      <c r="S51" s="1680">
        <f>'chi tiết (final)'!R270</f>
        <v>0</v>
      </c>
      <c r="T51" s="1680">
        <f>'chi tiết (final)'!S270</f>
        <v>0</v>
      </c>
      <c r="U51" s="1680">
        <f>'chi tiết (final)'!T270</f>
        <v>0</v>
      </c>
      <c r="V51" s="1680">
        <f>'chi tiết (final)'!U270</f>
        <v>0</v>
      </c>
      <c r="W51" s="1680">
        <f>'chi tiết (final)'!V270</f>
        <v>0</v>
      </c>
      <c r="X51" s="1680">
        <f>'chi tiết (final)'!W270</f>
        <v>0</v>
      </c>
      <c r="Y51" s="1680">
        <f>'chi tiết (final)'!X270</f>
        <v>0</v>
      </c>
      <c r="Z51" s="1680">
        <f>'chi tiết (final)'!Y270</f>
        <v>0</v>
      </c>
    </row>
    <row r="52" spans="1:26" ht="45">
      <c r="A52" s="1696">
        <v>15</v>
      </c>
      <c r="B52" s="1696" t="s">
        <v>34</v>
      </c>
      <c r="C52" s="1695" t="s">
        <v>32</v>
      </c>
      <c r="D52" s="1680">
        <f t="shared" si="8"/>
        <v>355850</v>
      </c>
      <c r="E52" s="1680">
        <f>'chi tiết (final)'!G274</f>
        <v>217000</v>
      </c>
      <c r="F52" s="1680">
        <f>'chi tiết (final)'!H274</f>
        <v>217000</v>
      </c>
      <c r="G52" s="1680">
        <f>'chi tiết (final)'!I274</f>
        <v>0</v>
      </c>
      <c r="H52" s="1680">
        <f>'chi tiết (final)'!J274</f>
        <v>0</v>
      </c>
      <c r="I52" s="1680">
        <f>'chi tiết (final)'!K274</f>
        <v>0</v>
      </c>
      <c r="J52" s="1680">
        <f>'chi tiết (final)'!L274</f>
        <v>0</v>
      </c>
      <c r="K52" s="1680"/>
      <c r="L52" s="1680"/>
      <c r="M52" s="1680"/>
      <c r="N52" s="1663">
        <f t="shared" si="9"/>
        <v>138850</v>
      </c>
      <c r="O52" s="1680">
        <f>'chi tiết (final)'!N274</f>
        <v>11120</v>
      </c>
      <c r="P52" s="1680">
        <f>'chi tiết (final)'!O274</f>
        <v>12000</v>
      </c>
      <c r="Q52" s="1680">
        <f>'chi tiết (final)'!P274</f>
        <v>25160</v>
      </c>
      <c r="R52" s="1680">
        <f>'chi tiết (final)'!Q274</f>
        <v>19000</v>
      </c>
      <c r="S52" s="1680">
        <f>'chi tiết (final)'!R274</f>
        <v>0</v>
      </c>
      <c r="T52" s="1680">
        <f>'chi tiết (final)'!S274</f>
        <v>1840</v>
      </c>
      <c r="U52" s="1680">
        <f>'chi tiết (final)'!T274</f>
        <v>20520</v>
      </c>
      <c r="V52" s="1680">
        <f>'chi tiết (final)'!U274</f>
        <v>1220</v>
      </c>
      <c r="W52" s="1680">
        <f>'chi tiết (final)'!V274</f>
        <v>4390</v>
      </c>
      <c r="X52" s="1680">
        <f>'chi tiết (final)'!W274</f>
        <v>26000</v>
      </c>
      <c r="Y52" s="1680">
        <f>'chi tiết (final)'!X274</f>
        <v>6440</v>
      </c>
      <c r="Z52" s="1680">
        <f>'chi tiết (final)'!Y274</f>
        <v>11160</v>
      </c>
    </row>
    <row r="53" spans="1:26">
      <c r="A53" s="1696">
        <v>16</v>
      </c>
      <c r="B53" s="1696" t="s">
        <v>34</v>
      </c>
      <c r="C53" s="1695" t="s">
        <v>257</v>
      </c>
      <c r="D53" s="1680">
        <f t="shared" si="8"/>
        <v>430000</v>
      </c>
      <c r="E53" s="1680">
        <f>'chi tiết (final)'!G279</f>
        <v>430000</v>
      </c>
      <c r="F53" s="1680">
        <f>'chi tiết (final)'!H279</f>
        <v>430000</v>
      </c>
      <c r="G53" s="1680">
        <f>'chi tiết (final)'!I279</f>
        <v>0</v>
      </c>
      <c r="H53" s="1680">
        <f>'chi tiết (final)'!J279</f>
        <v>0</v>
      </c>
      <c r="I53" s="1680">
        <f>'chi tiết (final)'!K279</f>
        <v>0</v>
      </c>
      <c r="J53" s="1680">
        <f>'chi tiết (final)'!L279</f>
        <v>0</v>
      </c>
      <c r="K53" s="1680"/>
      <c r="L53" s="1680"/>
      <c r="M53" s="1680"/>
      <c r="N53" s="1663">
        <f t="shared" si="9"/>
        <v>0</v>
      </c>
      <c r="O53" s="1680">
        <f>'chi tiết (final)'!N279</f>
        <v>0</v>
      </c>
      <c r="P53" s="1680">
        <f>'chi tiết (final)'!O279</f>
        <v>0</v>
      </c>
      <c r="Q53" s="1680">
        <f>'chi tiết (final)'!P279</f>
        <v>0</v>
      </c>
      <c r="R53" s="1680">
        <f>'chi tiết (final)'!Q279</f>
        <v>0</v>
      </c>
      <c r="S53" s="1680">
        <f>'chi tiết (final)'!R279</f>
        <v>0</v>
      </c>
      <c r="T53" s="1680">
        <f>'chi tiết (final)'!S279</f>
        <v>0</v>
      </c>
      <c r="U53" s="1680">
        <f>'chi tiết (final)'!T279</f>
        <v>0</v>
      </c>
      <c r="V53" s="1680">
        <f>'chi tiết (final)'!U279</f>
        <v>0</v>
      </c>
      <c r="W53" s="1680">
        <f>'chi tiết (final)'!V279</f>
        <v>0</v>
      </c>
      <c r="X53" s="1680">
        <f>'chi tiết (final)'!W279</f>
        <v>0</v>
      </c>
      <c r="Y53" s="1680">
        <f>'chi tiết (final)'!X279</f>
        <v>0</v>
      </c>
      <c r="Z53" s="1680">
        <f>'chi tiết (final)'!Y279</f>
        <v>0</v>
      </c>
    </row>
    <row r="54" spans="1:26" ht="33.75">
      <c r="A54" s="1696">
        <v>17</v>
      </c>
      <c r="B54" s="1696" t="s">
        <v>34</v>
      </c>
      <c r="C54" s="1695" t="s">
        <v>193</v>
      </c>
      <c r="D54" s="1680">
        <f t="shared" si="8"/>
        <v>349760</v>
      </c>
      <c r="E54" s="1680">
        <f>'chi tiết (final)'!G285</f>
        <v>160000</v>
      </c>
      <c r="F54" s="1680">
        <f>'chi tiết (final)'!H285</f>
        <v>160000</v>
      </c>
      <c r="G54" s="1680">
        <f>'chi tiết (final)'!I285</f>
        <v>0</v>
      </c>
      <c r="H54" s="1680">
        <f>'chi tiết (final)'!J285</f>
        <v>0</v>
      </c>
      <c r="I54" s="1680">
        <f>'chi tiết (final)'!K285</f>
        <v>0</v>
      </c>
      <c r="J54" s="1680">
        <f>'chi tiết (final)'!L285</f>
        <v>0</v>
      </c>
      <c r="K54" s="1680"/>
      <c r="L54" s="1680"/>
      <c r="M54" s="1680"/>
      <c r="N54" s="1663">
        <f t="shared" si="9"/>
        <v>189760</v>
      </c>
      <c r="O54" s="1680">
        <f>'chi tiết (final)'!N285</f>
        <v>17180</v>
      </c>
      <c r="P54" s="1680">
        <f>'chi tiết (final)'!O285</f>
        <v>17000</v>
      </c>
      <c r="Q54" s="1680">
        <f>'chi tiết (final)'!P285</f>
        <v>10394</v>
      </c>
      <c r="R54" s="1680">
        <f>'chi tiết (final)'!Q285</f>
        <v>38400</v>
      </c>
      <c r="S54" s="1680">
        <f>'chi tiết (final)'!R285</f>
        <v>15001</v>
      </c>
      <c r="T54" s="1680">
        <f>'chi tiết (final)'!S285</f>
        <v>14840</v>
      </c>
      <c r="U54" s="1680">
        <f>'chi tiết (final)'!T285</f>
        <v>28960</v>
      </c>
      <c r="V54" s="1680">
        <f>'chi tiết (final)'!U285</f>
        <v>11680</v>
      </c>
      <c r="W54" s="1680">
        <f>'chi tiết (final)'!V285</f>
        <v>8115</v>
      </c>
      <c r="X54" s="1680">
        <f>'chi tiết (final)'!W285</f>
        <v>12990</v>
      </c>
      <c r="Y54" s="1680">
        <f>'chi tiết (final)'!X285</f>
        <v>9260</v>
      </c>
      <c r="Z54" s="1680">
        <f>'chi tiết (final)'!Y285</f>
        <v>5940</v>
      </c>
    </row>
    <row r="55" spans="1:26">
      <c r="A55" s="1696">
        <v>18</v>
      </c>
      <c r="B55" s="1696" t="s">
        <v>34</v>
      </c>
      <c r="C55" s="1695" t="s">
        <v>33</v>
      </c>
      <c r="D55" s="1680">
        <f t="shared" si="8"/>
        <v>750692</v>
      </c>
      <c r="E55" s="1680">
        <f>'chi tiết (final)'!G292</f>
        <v>250000</v>
      </c>
      <c r="F55" s="1680">
        <f>'chi tiết (final)'!H292</f>
        <v>250000</v>
      </c>
      <c r="G55" s="1680">
        <f>'chi tiết (final)'!I292</f>
        <v>0</v>
      </c>
      <c r="H55" s="1680">
        <f>'chi tiết (final)'!J292</f>
        <v>0</v>
      </c>
      <c r="I55" s="1680">
        <f>'chi tiết (final)'!K292</f>
        <v>0</v>
      </c>
      <c r="J55" s="1680">
        <f>'chi tiết (final)'!L292</f>
        <v>0</v>
      </c>
      <c r="K55" s="1680"/>
      <c r="L55" s="1680"/>
      <c r="M55" s="1680"/>
      <c r="N55" s="1663">
        <f t="shared" si="9"/>
        <v>500692</v>
      </c>
      <c r="O55" s="1680">
        <f>'chi tiết (final)'!N292</f>
        <v>10800</v>
      </c>
      <c r="P55" s="1680">
        <f>'chi tiết (final)'!O292</f>
        <v>47100</v>
      </c>
      <c r="Q55" s="1680">
        <f>'chi tiết (final)'!P292</f>
        <v>42090</v>
      </c>
      <c r="R55" s="1680">
        <f>'chi tiết (final)'!Q292</f>
        <v>77290</v>
      </c>
      <c r="S55" s="1680">
        <f>'chi tiết (final)'!R292</f>
        <v>57156</v>
      </c>
      <c r="T55" s="1680">
        <f>'chi tiết (final)'!S292</f>
        <v>10920</v>
      </c>
      <c r="U55" s="1680">
        <f>'chi tiết (final)'!T292</f>
        <v>37660</v>
      </c>
      <c r="V55" s="1680">
        <f>'chi tiết (final)'!U292</f>
        <v>32040</v>
      </c>
      <c r="W55" s="1680">
        <f>'chi tiết (final)'!V292</f>
        <v>47166</v>
      </c>
      <c r="X55" s="1680">
        <f>'chi tiết (final)'!W292</f>
        <v>38170</v>
      </c>
      <c r="Y55" s="1680">
        <f>'chi tiết (final)'!X292</f>
        <v>73050</v>
      </c>
      <c r="Z55" s="1680">
        <f>'chi tiết (final)'!Y292</f>
        <v>27250</v>
      </c>
    </row>
    <row r="56" spans="1:26" ht="22.5">
      <c r="A56" s="1696">
        <v>19</v>
      </c>
      <c r="B56" s="1696"/>
      <c r="C56" s="1695" t="s">
        <v>241</v>
      </c>
      <c r="D56" s="1680">
        <f t="shared" si="8"/>
        <v>3958187</v>
      </c>
      <c r="E56" s="1680">
        <f t="shared" ref="E56:Z56" si="17">E57+E58+E59+E60</f>
        <v>2456525</v>
      </c>
      <c r="F56" s="1680">
        <f t="shared" si="17"/>
        <v>1533125</v>
      </c>
      <c r="G56" s="1680">
        <f t="shared" si="17"/>
        <v>278900</v>
      </c>
      <c r="H56" s="1680">
        <f t="shared" si="17"/>
        <v>574500</v>
      </c>
      <c r="I56" s="1680">
        <f t="shared" si="17"/>
        <v>70000</v>
      </c>
      <c r="J56" s="1680">
        <f t="shared" si="17"/>
        <v>0</v>
      </c>
      <c r="K56" s="1680"/>
      <c r="L56" s="1680"/>
      <c r="M56" s="1680"/>
      <c r="N56" s="1663">
        <f t="shared" si="9"/>
        <v>1501662</v>
      </c>
      <c r="O56" s="1680">
        <f t="shared" si="17"/>
        <v>285970</v>
      </c>
      <c r="P56" s="1680">
        <f t="shared" si="17"/>
        <v>50400</v>
      </c>
      <c r="Q56" s="1680">
        <f t="shared" si="17"/>
        <v>105040</v>
      </c>
      <c r="R56" s="1680">
        <f t="shared" si="17"/>
        <v>23900</v>
      </c>
      <c r="S56" s="1680">
        <f t="shared" si="17"/>
        <v>126974</v>
      </c>
      <c r="T56" s="1680">
        <f t="shared" si="17"/>
        <v>136148</v>
      </c>
      <c r="U56" s="1680">
        <f t="shared" si="17"/>
        <v>72867</v>
      </c>
      <c r="V56" s="1680">
        <f t="shared" si="17"/>
        <v>264998</v>
      </c>
      <c r="W56" s="1680">
        <f t="shared" si="17"/>
        <v>165880</v>
      </c>
      <c r="X56" s="1680">
        <f t="shared" si="17"/>
        <v>53755</v>
      </c>
      <c r="Y56" s="1680">
        <f t="shared" si="17"/>
        <v>65030</v>
      </c>
      <c r="Z56" s="1680">
        <f t="shared" si="17"/>
        <v>150700</v>
      </c>
    </row>
    <row r="57" spans="1:26" s="1483" customFormat="1" ht="33.75">
      <c r="A57" s="1686" t="s">
        <v>268</v>
      </c>
      <c r="B57" s="1686" t="s">
        <v>34</v>
      </c>
      <c r="C57" s="1687" t="s">
        <v>262</v>
      </c>
      <c r="D57" s="1680">
        <f t="shared" si="8"/>
        <v>2499352</v>
      </c>
      <c r="E57" s="1667">
        <f>'chi tiết (final)'!G301</f>
        <v>1533125</v>
      </c>
      <c r="F57" s="1667">
        <f>'chi tiết (final)'!H301</f>
        <v>1533125</v>
      </c>
      <c r="G57" s="1667">
        <f>'chi tiết (final)'!I301</f>
        <v>0</v>
      </c>
      <c r="H57" s="1667">
        <f>'chi tiết (final)'!J301</f>
        <v>0</v>
      </c>
      <c r="I57" s="1667">
        <f>'chi tiết (final)'!K301</f>
        <v>0</v>
      </c>
      <c r="J57" s="1667">
        <f>'chi tiết (final)'!L301</f>
        <v>0</v>
      </c>
      <c r="K57" s="1667"/>
      <c r="L57" s="1667"/>
      <c r="M57" s="1667"/>
      <c r="N57" s="1663">
        <f t="shared" si="9"/>
        <v>966227</v>
      </c>
      <c r="O57" s="1667">
        <f>'chi tiết (final)'!N301</f>
        <v>102090</v>
      </c>
      <c r="P57" s="1667">
        <f>'chi tiết (final)'!O301</f>
        <v>8000</v>
      </c>
      <c r="Q57" s="1667">
        <f>'chi tiết (final)'!P301</f>
        <v>93040</v>
      </c>
      <c r="R57" s="1667">
        <f>'chi tiết (final)'!Q301</f>
        <v>12900</v>
      </c>
      <c r="S57" s="1667">
        <f>'chi tiết (final)'!R301</f>
        <v>74894</v>
      </c>
      <c r="T57" s="1667">
        <f>'chi tiết (final)'!S301</f>
        <v>116948</v>
      </c>
      <c r="U57" s="1667">
        <f>'chi tiết (final)'!T301</f>
        <v>28352</v>
      </c>
      <c r="V57" s="1667">
        <f>'chi tiết (final)'!U301</f>
        <v>239278</v>
      </c>
      <c r="W57" s="1667">
        <f>'chi tiết (final)'!V301</f>
        <v>123360</v>
      </c>
      <c r="X57" s="1667">
        <f>'chi tiết (final)'!W301</f>
        <v>43755</v>
      </c>
      <c r="Y57" s="1667">
        <f>'chi tiết (final)'!X301</f>
        <v>33110</v>
      </c>
      <c r="Z57" s="1667">
        <f>'chi tiết (final)'!Y301</f>
        <v>90500</v>
      </c>
    </row>
    <row r="58" spans="1:26" s="1483" customFormat="1" ht="33.75">
      <c r="A58" s="1686" t="s">
        <v>269</v>
      </c>
      <c r="B58" s="1686" t="s">
        <v>1</v>
      </c>
      <c r="C58" s="1687" t="s">
        <v>263</v>
      </c>
      <c r="D58" s="1680">
        <f t="shared" si="8"/>
        <v>628435</v>
      </c>
      <c r="E58" s="1667">
        <f>'chi tiết (final)'!G314</f>
        <v>278900</v>
      </c>
      <c r="F58" s="1667">
        <f>'chi tiết (final)'!H314</f>
        <v>0</v>
      </c>
      <c r="G58" s="1667">
        <f>'chi tiết (final)'!I314</f>
        <v>278900</v>
      </c>
      <c r="H58" s="1667">
        <f>'chi tiết (final)'!J314</f>
        <v>0</v>
      </c>
      <c r="I58" s="1667">
        <f>'chi tiết (final)'!K314</f>
        <v>0</v>
      </c>
      <c r="J58" s="1667">
        <f>'chi tiết (final)'!L314</f>
        <v>0</v>
      </c>
      <c r="K58" s="1667"/>
      <c r="L58" s="1667"/>
      <c r="M58" s="1667"/>
      <c r="N58" s="1663">
        <f t="shared" si="9"/>
        <v>349535</v>
      </c>
      <c r="O58" s="1667">
        <f>'chi tiết (final)'!N314</f>
        <v>148500</v>
      </c>
      <c r="P58" s="1667">
        <f>'chi tiết (final)'!O314</f>
        <v>34000</v>
      </c>
      <c r="Q58" s="1667">
        <f>'chi tiết (final)'!P314</f>
        <v>2000</v>
      </c>
      <c r="R58" s="1667">
        <f>'chi tiết (final)'!Q314</f>
        <v>0</v>
      </c>
      <c r="S58" s="1667">
        <f>'chi tiết (final)'!R314</f>
        <v>5880</v>
      </c>
      <c r="T58" s="1667">
        <f>'chi tiết (final)'!S314</f>
        <v>10000</v>
      </c>
      <c r="U58" s="1667">
        <f>'chi tiết (final)'!T314</f>
        <v>32715</v>
      </c>
      <c r="V58" s="1667">
        <f>'chi tiết (final)'!U314</f>
        <v>15520</v>
      </c>
      <c r="W58" s="1667">
        <f>'chi tiết (final)'!V314</f>
        <v>31720</v>
      </c>
      <c r="X58" s="1667">
        <f>'chi tiết (final)'!W314</f>
        <v>0</v>
      </c>
      <c r="Y58" s="1667">
        <f>'chi tiết (final)'!X314</f>
        <v>19200</v>
      </c>
      <c r="Z58" s="1667">
        <f>'chi tiết (final)'!Y314</f>
        <v>50000</v>
      </c>
    </row>
    <row r="59" spans="1:26" s="1483" customFormat="1" ht="33.75">
      <c r="A59" s="1686" t="s">
        <v>270</v>
      </c>
      <c r="B59" s="1686" t="s">
        <v>2</v>
      </c>
      <c r="C59" s="1687" t="s">
        <v>264</v>
      </c>
      <c r="D59" s="1680">
        <f t="shared" si="8"/>
        <v>760400</v>
      </c>
      <c r="E59" s="1667">
        <f>'chi tiết (final)'!G316</f>
        <v>574500</v>
      </c>
      <c r="F59" s="1667">
        <f>'chi tiết (final)'!H316</f>
        <v>0</v>
      </c>
      <c r="G59" s="1667">
        <f>'chi tiết (final)'!I316</f>
        <v>0</v>
      </c>
      <c r="H59" s="1667">
        <f>'chi tiết (final)'!J316</f>
        <v>574500</v>
      </c>
      <c r="I59" s="1667">
        <f>'chi tiết (final)'!K316</f>
        <v>0</v>
      </c>
      <c r="J59" s="1667">
        <f>'chi tiết (final)'!L316</f>
        <v>0</v>
      </c>
      <c r="K59" s="1667"/>
      <c r="L59" s="1667"/>
      <c r="M59" s="1667"/>
      <c r="N59" s="1663">
        <f t="shared" si="9"/>
        <v>185900</v>
      </c>
      <c r="O59" s="1667">
        <f>'chi tiết (final)'!N316</f>
        <v>35380</v>
      </c>
      <c r="P59" s="1667">
        <f>'chi tiết (final)'!O316</f>
        <v>8400</v>
      </c>
      <c r="Q59" s="1667">
        <f>'chi tiết (final)'!P316</f>
        <v>10000</v>
      </c>
      <c r="R59" s="1667">
        <f>'chi tiết (final)'!Q316</f>
        <v>11000</v>
      </c>
      <c r="S59" s="1667">
        <f>'chi tiết (final)'!R316</f>
        <v>46200</v>
      </c>
      <c r="T59" s="1667">
        <f>'chi tiết (final)'!S316</f>
        <v>9200</v>
      </c>
      <c r="U59" s="1667">
        <f>'chi tiết (final)'!T316</f>
        <v>11800</v>
      </c>
      <c r="V59" s="1667">
        <f>'chi tiết (final)'!U316</f>
        <v>10200</v>
      </c>
      <c r="W59" s="1667">
        <f>'chi tiết (final)'!V316</f>
        <v>10800</v>
      </c>
      <c r="X59" s="1667">
        <f>'chi tiết (final)'!W316</f>
        <v>10000</v>
      </c>
      <c r="Y59" s="1667">
        <f>'chi tiết (final)'!X316</f>
        <v>12720</v>
      </c>
      <c r="Z59" s="1667">
        <f>'chi tiết (final)'!Y316</f>
        <v>10200</v>
      </c>
    </row>
    <row r="60" spans="1:26" s="1483" customFormat="1" ht="78.75">
      <c r="A60" s="1686" t="s">
        <v>271</v>
      </c>
      <c r="B60" s="1686" t="s">
        <v>582</v>
      </c>
      <c r="C60" s="1687" t="s">
        <v>280</v>
      </c>
      <c r="D60" s="1680">
        <f t="shared" si="8"/>
        <v>70000</v>
      </c>
      <c r="E60" s="1667">
        <f>'chi tiết (final)'!G320</f>
        <v>70000</v>
      </c>
      <c r="F60" s="1667">
        <f>'chi tiết (final)'!H320</f>
        <v>0</v>
      </c>
      <c r="G60" s="1667">
        <f>'chi tiết (final)'!I320</f>
        <v>0</v>
      </c>
      <c r="H60" s="1667">
        <f>'chi tiết (final)'!J320</f>
        <v>0</v>
      </c>
      <c r="I60" s="1667">
        <f>'chi tiết (final)'!K320</f>
        <v>70000</v>
      </c>
      <c r="J60" s="1667">
        <f>'chi tiết (final)'!L320</f>
        <v>0</v>
      </c>
      <c r="K60" s="1667"/>
      <c r="L60" s="1667"/>
      <c r="M60" s="1667"/>
      <c r="N60" s="1663">
        <f t="shared" si="9"/>
        <v>0</v>
      </c>
      <c r="O60" s="1667">
        <f>'chi tiết (final)'!N320</f>
        <v>0</v>
      </c>
      <c r="P60" s="1667">
        <f>'chi tiết (final)'!O320</f>
        <v>0</v>
      </c>
      <c r="Q60" s="1667">
        <f>'chi tiết (final)'!P320</f>
        <v>0</v>
      </c>
      <c r="R60" s="1667">
        <f>'chi tiết (final)'!Q320</f>
        <v>0</v>
      </c>
      <c r="S60" s="1667">
        <f>'chi tiết (final)'!R320</f>
        <v>0</v>
      </c>
      <c r="T60" s="1667">
        <f>'chi tiết (final)'!S320</f>
        <v>0</v>
      </c>
      <c r="U60" s="1667">
        <f>'chi tiết (final)'!T320</f>
        <v>0</v>
      </c>
      <c r="V60" s="1667">
        <f>'chi tiết (final)'!U320</f>
        <v>0</v>
      </c>
      <c r="W60" s="1667">
        <f>'chi tiết (final)'!V320</f>
        <v>0</v>
      </c>
      <c r="X60" s="1667">
        <f>'chi tiết (final)'!W320</f>
        <v>0</v>
      </c>
      <c r="Y60" s="1667">
        <f>'chi tiết (final)'!X320</f>
        <v>0</v>
      </c>
      <c r="Z60" s="1667">
        <f>'chi tiết (final)'!Y320</f>
        <v>0</v>
      </c>
    </row>
    <row r="61" spans="1:26" ht="33.75">
      <c r="A61" s="1685">
        <v>20</v>
      </c>
      <c r="B61" s="1686"/>
      <c r="C61" s="1679" t="s">
        <v>242</v>
      </c>
      <c r="D61" s="1680">
        <f t="shared" si="8"/>
        <v>2245467</v>
      </c>
      <c r="E61" s="1680">
        <f t="shared" ref="E61:Z61" si="18">E62+E63+E64+E65</f>
        <v>1511260</v>
      </c>
      <c r="F61" s="1680">
        <f t="shared" si="18"/>
        <v>50000</v>
      </c>
      <c r="G61" s="1680">
        <f t="shared" si="18"/>
        <v>1028240</v>
      </c>
      <c r="H61" s="1680">
        <f t="shared" si="18"/>
        <v>92540</v>
      </c>
      <c r="I61" s="1680">
        <f t="shared" si="18"/>
        <v>163280</v>
      </c>
      <c r="J61" s="1680">
        <f t="shared" si="18"/>
        <v>177200</v>
      </c>
      <c r="K61" s="1680"/>
      <c r="L61" s="1680"/>
      <c r="M61" s="1680"/>
      <c r="N61" s="1663">
        <f t="shared" si="9"/>
        <v>734207</v>
      </c>
      <c r="O61" s="1680">
        <f t="shared" si="18"/>
        <v>190173</v>
      </c>
      <c r="P61" s="1680">
        <f t="shared" si="18"/>
        <v>96440</v>
      </c>
      <c r="Q61" s="1680">
        <f t="shared" si="18"/>
        <v>8476</v>
      </c>
      <c r="R61" s="1680">
        <f t="shared" si="18"/>
        <v>62350</v>
      </c>
      <c r="S61" s="1680">
        <f t="shared" si="18"/>
        <v>74690</v>
      </c>
      <c r="T61" s="1680">
        <f t="shared" si="18"/>
        <v>36560</v>
      </c>
      <c r="U61" s="1680">
        <f t="shared" si="18"/>
        <v>23750</v>
      </c>
      <c r="V61" s="1680">
        <f t="shared" si="18"/>
        <v>61710</v>
      </c>
      <c r="W61" s="1680">
        <f t="shared" si="18"/>
        <v>31728</v>
      </c>
      <c r="X61" s="1680">
        <f t="shared" si="18"/>
        <v>18250</v>
      </c>
      <c r="Y61" s="1680">
        <f t="shared" si="18"/>
        <v>34600</v>
      </c>
      <c r="Z61" s="1680">
        <f t="shared" si="18"/>
        <v>95480</v>
      </c>
    </row>
    <row r="62" spans="1:26" s="1483" customFormat="1" ht="45">
      <c r="A62" s="1670" t="s">
        <v>281</v>
      </c>
      <c r="B62" s="1670" t="s">
        <v>34</v>
      </c>
      <c r="C62" s="1687" t="s">
        <v>265</v>
      </c>
      <c r="D62" s="1680">
        <f t="shared" si="8"/>
        <v>91158</v>
      </c>
      <c r="E62" s="1667">
        <f>'chi tiết (final)'!G324</f>
        <v>50000</v>
      </c>
      <c r="F62" s="1667">
        <f>'chi tiết (final)'!H324</f>
        <v>50000</v>
      </c>
      <c r="G62" s="1667">
        <f>'chi tiết (final)'!I324</f>
        <v>0</v>
      </c>
      <c r="H62" s="1667">
        <f>'chi tiết (final)'!J324</f>
        <v>0</v>
      </c>
      <c r="I62" s="1667">
        <f>'chi tiết (final)'!K324</f>
        <v>0</v>
      </c>
      <c r="J62" s="1667">
        <f>'chi tiết (final)'!L324</f>
        <v>0</v>
      </c>
      <c r="K62" s="1667"/>
      <c r="L62" s="1667"/>
      <c r="M62" s="1667"/>
      <c r="N62" s="1663">
        <f t="shared" si="9"/>
        <v>41158</v>
      </c>
      <c r="O62" s="1667">
        <f>'chi tiết (final)'!N324</f>
        <v>3840</v>
      </c>
      <c r="P62" s="1667">
        <f>'chi tiết (final)'!O324</f>
        <v>0</v>
      </c>
      <c r="Q62" s="1667">
        <f>'chi tiết (final)'!P324</f>
        <v>1600</v>
      </c>
      <c r="R62" s="1667">
        <f>'chi tiết (final)'!Q324</f>
        <v>2400</v>
      </c>
      <c r="S62" s="1667">
        <f>'chi tiết (final)'!R324</f>
        <v>6736</v>
      </c>
      <c r="T62" s="1667">
        <f>'chi tiết (final)'!S324</f>
        <v>1280</v>
      </c>
      <c r="U62" s="1667">
        <f>'chi tiết (final)'!T324</f>
        <v>1520</v>
      </c>
      <c r="V62" s="1667">
        <f>'chi tiết (final)'!U324</f>
        <v>0</v>
      </c>
      <c r="W62" s="1667">
        <f>'chi tiết (final)'!V324</f>
        <v>10392</v>
      </c>
      <c r="X62" s="1667">
        <f>'chi tiết (final)'!W324</f>
        <v>8000</v>
      </c>
      <c r="Y62" s="1667">
        <f>'chi tiết (final)'!X324</f>
        <v>0</v>
      </c>
      <c r="Z62" s="1667">
        <f>'chi tiết (final)'!Y324</f>
        <v>5390</v>
      </c>
    </row>
    <row r="63" spans="1:26" s="1483" customFormat="1" ht="45">
      <c r="A63" s="1689" t="s">
        <v>282</v>
      </c>
      <c r="B63" s="1689" t="s">
        <v>1</v>
      </c>
      <c r="C63" s="1687" t="s">
        <v>266</v>
      </c>
      <c r="D63" s="1680">
        <f t="shared" si="8"/>
        <v>1538731</v>
      </c>
      <c r="E63" s="1667">
        <f>'chi tiết (final)'!G326</f>
        <v>1028240</v>
      </c>
      <c r="F63" s="1667">
        <f>'chi tiết (final)'!H326</f>
        <v>0</v>
      </c>
      <c r="G63" s="1667">
        <f>'chi tiết (final)'!I326</f>
        <v>1028240</v>
      </c>
      <c r="H63" s="1667">
        <f>'chi tiết (final)'!J326</f>
        <v>0</v>
      </c>
      <c r="I63" s="1667">
        <f>'chi tiết (final)'!K326</f>
        <v>0</v>
      </c>
      <c r="J63" s="1667">
        <f>'chi tiết (final)'!L326</f>
        <v>0</v>
      </c>
      <c r="K63" s="1667"/>
      <c r="L63" s="1667"/>
      <c r="M63" s="1667"/>
      <c r="N63" s="1663">
        <f t="shared" si="9"/>
        <v>510491</v>
      </c>
      <c r="O63" s="1667">
        <f>'chi tiết (final)'!N326</f>
        <v>173853</v>
      </c>
      <c r="P63" s="1667">
        <f>'chi tiết (final)'!O326</f>
        <v>92000</v>
      </c>
      <c r="Q63" s="1667">
        <f>'chi tiết (final)'!P326</f>
        <v>0</v>
      </c>
      <c r="R63" s="1667">
        <f>'chi tiết (final)'!Q326</f>
        <v>22320</v>
      </c>
      <c r="S63" s="1667">
        <f>'chi tiết (final)'!R326</f>
        <v>49358</v>
      </c>
      <c r="T63" s="1667">
        <f>'chi tiết (final)'!S326</f>
        <v>20000</v>
      </c>
      <c r="U63" s="1667">
        <f>'chi tiết (final)'!T326</f>
        <v>3040</v>
      </c>
      <c r="V63" s="1667">
        <f>'chi tiết (final)'!U326</f>
        <v>47400</v>
      </c>
      <c r="W63" s="1667">
        <f>'chi tiết (final)'!V326</f>
        <v>0</v>
      </c>
      <c r="X63" s="1667">
        <f>'chi tiết (final)'!W326</f>
        <v>0</v>
      </c>
      <c r="Y63" s="1667">
        <f>'chi tiết (final)'!X326</f>
        <v>27520</v>
      </c>
      <c r="Z63" s="1667">
        <f>'chi tiết (final)'!Y326</f>
        <v>75000</v>
      </c>
    </row>
    <row r="64" spans="1:26" s="1483" customFormat="1" ht="45">
      <c r="A64" s="1689" t="s">
        <v>283</v>
      </c>
      <c r="B64" s="1689" t="s">
        <v>2</v>
      </c>
      <c r="C64" s="1687" t="s">
        <v>267</v>
      </c>
      <c r="D64" s="1680">
        <f t="shared" si="8"/>
        <v>452298</v>
      </c>
      <c r="E64" s="1667">
        <f>'chi tiết (final)'!G332</f>
        <v>269740</v>
      </c>
      <c r="F64" s="1667">
        <f>'chi tiết (final)'!H332</f>
        <v>0</v>
      </c>
      <c r="G64" s="1667">
        <f>'chi tiết (final)'!I332</f>
        <v>0</v>
      </c>
      <c r="H64" s="1667">
        <f>'chi tiết (final)'!J332</f>
        <v>92540</v>
      </c>
      <c r="I64" s="1667">
        <f>'chi tiết (final)'!K332</f>
        <v>0</v>
      </c>
      <c r="J64" s="1667">
        <f>'chi tiết (final)'!L332</f>
        <v>177200</v>
      </c>
      <c r="K64" s="1667"/>
      <c r="L64" s="1667"/>
      <c r="M64" s="1667"/>
      <c r="N64" s="1663">
        <f t="shared" si="9"/>
        <v>182558</v>
      </c>
      <c r="O64" s="1667">
        <f>'chi tiết (final)'!N332</f>
        <v>12480</v>
      </c>
      <c r="P64" s="1667">
        <f>'chi tiết (final)'!O332</f>
        <v>4440</v>
      </c>
      <c r="Q64" s="1667">
        <f>'chi tiết (final)'!P332</f>
        <v>6876</v>
      </c>
      <c r="R64" s="1667">
        <f>'chi tiết (final)'!Q332</f>
        <v>37630</v>
      </c>
      <c r="S64" s="1667">
        <f>'chi tiết (final)'!R332</f>
        <v>18596</v>
      </c>
      <c r="T64" s="1667">
        <f>'chi tiết (final)'!S332</f>
        <v>15280</v>
      </c>
      <c r="U64" s="1667">
        <f>'chi tiết (final)'!T332</f>
        <v>19190</v>
      </c>
      <c r="V64" s="1667">
        <f>'chi tiết (final)'!U332</f>
        <v>14310</v>
      </c>
      <c r="W64" s="1667">
        <f>'chi tiết (final)'!V332</f>
        <v>21336</v>
      </c>
      <c r="X64" s="1667">
        <f>'chi tiết (final)'!W332</f>
        <v>10250</v>
      </c>
      <c r="Y64" s="1667">
        <f>'chi tiết (final)'!X332</f>
        <v>7080</v>
      </c>
      <c r="Z64" s="1667">
        <f>'chi tiết (final)'!Y332</f>
        <v>15090</v>
      </c>
    </row>
    <row r="65" spans="1:26" s="1483" customFormat="1" ht="78.75">
      <c r="A65" s="1689" t="s">
        <v>284</v>
      </c>
      <c r="B65" s="1689" t="s">
        <v>582</v>
      </c>
      <c r="C65" s="1687" t="s">
        <v>279</v>
      </c>
      <c r="D65" s="1680">
        <f t="shared" si="8"/>
        <v>163280</v>
      </c>
      <c r="E65" s="1667">
        <f>'chi tiết (final)'!G335</f>
        <v>163280</v>
      </c>
      <c r="F65" s="1667">
        <f>'chi tiết (final)'!H335</f>
        <v>0</v>
      </c>
      <c r="G65" s="1667">
        <f>'chi tiết (final)'!I335</f>
        <v>0</v>
      </c>
      <c r="H65" s="1667">
        <f>'chi tiết (final)'!J335</f>
        <v>0</v>
      </c>
      <c r="I65" s="1667">
        <f>'chi tiết (final)'!K335</f>
        <v>163280</v>
      </c>
      <c r="J65" s="1667">
        <f>'chi tiết (final)'!L335</f>
        <v>0</v>
      </c>
      <c r="K65" s="1667"/>
      <c r="L65" s="1667"/>
      <c r="M65" s="1667"/>
      <c r="N65" s="1663">
        <f t="shared" si="9"/>
        <v>0</v>
      </c>
      <c r="O65" s="1667">
        <f>'chi tiết (final)'!N335</f>
        <v>0</v>
      </c>
      <c r="P65" s="1667">
        <f>'chi tiết (final)'!O335</f>
        <v>0</v>
      </c>
      <c r="Q65" s="1667">
        <f>'chi tiết (final)'!P335</f>
        <v>0</v>
      </c>
      <c r="R65" s="1667">
        <f>'chi tiết (final)'!Q335</f>
        <v>0</v>
      </c>
      <c r="S65" s="1667">
        <f>'chi tiết (final)'!R335</f>
        <v>0</v>
      </c>
      <c r="T65" s="1667">
        <f>'chi tiết (final)'!S335</f>
        <v>0</v>
      </c>
      <c r="U65" s="1667">
        <f>'chi tiết (final)'!T335</f>
        <v>0</v>
      </c>
      <c r="V65" s="1667">
        <f>'chi tiết (final)'!U335</f>
        <v>0</v>
      </c>
      <c r="W65" s="1667">
        <f>'chi tiết (final)'!V335</f>
        <v>0</v>
      </c>
      <c r="X65" s="1667">
        <f>'chi tiết (final)'!W335</f>
        <v>0</v>
      </c>
      <c r="Y65" s="1667">
        <f>'chi tiết (final)'!X335</f>
        <v>0</v>
      </c>
      <c r="Z65" s="1667">
        <f>'chi tiết (final)'!Y335</f>
        <v>0</v>
      </c>
    </row>
    <row r="66" spans="1:26" ht="38.25" customHeight="1">
      <c r="A66" s="1700" t="s">
        <v>816</v>
      </c>
      <c r="B66" s="1920" t="s">
        <v>848</v>
      </c>
      <c r="C66" s="1920"/>
      <c r="D66" s="1663">
        <f>E66+N66</f>
        <v>464363</v>
      </c>
      <c r="E66" s="1663">
        <f>SUM(F66:J66)</f>
        <v>464363</v>
      </c>
      <c r="F66" s="1701">
        <v>464363</v>
      </c>
      <c r="G66" s="1702"/>
      <c r="H66" s="1702"/>
      <c r="I66" s="1702"/>
      <c r="J66" s="1702"/>
      <c r="K66" s="1702"/>
      <c r="L66" s="1702"/>
      <c r="M66" s="1702"/>
      <c r="N66" s="1702"/>
      <c r="O66" s="1702"/>
      <c r="P66" s="1702"/>
      <c r="Q66" s="1702"/>
      <c r="R66" s="1702"/>
      <c r="S66" s="1702"/>
      <c r="T66" s="1702"/>
      <c r="U66" s="1702"/>
      <c r="V66" s="1702"/>
      <c r="W66" s="1702"/>
      <c r="X66" s="1702"/>
      <c r="Y66" s="1702"/>
      <c r="Z66" s="1702"/>
    </row>
    <row r="67" spans="1:26">
      <c r="D67" s="1481"/>
    </row>
    <row r="68" spans="1:26">
      <c r="D68" s="1481"/>
    </row>
  </sheetData>
  <mergeCells count="10">
    <mergeCell ref="B66:C66"/>
    <mergeCell ref="A1:Z2"/>
    <mergeCell ref="A4:A7"/>
    <mergeCell ref="B4:B7"/>
    <mergeCell ref="C4:C7"/>
    <mergeCell ref="D4:D7"/>
    <mergeCell ref="E4:J5"/>
    <mergeCell ref="N4:Z5"/>
    <mergeCell ref="G3:H3"/>
    <mergeCell ref="Y3:Z3"/>
  </mergeCells>
  <pageMargins left="0.70866141732283472" right="0.70866141732283472" top="0.74803149606299213" bottom="0.74803149606299213" header="0.31496062992125984" footer="0.31496062992125984"/>
  <pageSetup paperSize="9" scale="55"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B535"/>
  <sheetViews>
    <sheetView topLeftCell="B398" zoomScale="124" zoomScaleNormal="124" workbookViewId="0">
      <selection activeCell="J398" sqref="J398"/>
    </sheetView>
  </sheetViews>
  <sheetFormatPr defaultColWidth="9" defaultRowHeight="12" outlineLevelCol="1"/>
  <cols>
    <col min="1" max="1" width="0" style="1057" hidden="1" customWidth="1"/>
    <col min="2" max="2" width="4.5703125" style="1058" bestFit="1" customWidth="1"/>
    <col min="3" max="3" width="6.5703125" style="1058" customWidth="1"/>
    <col min="4" max="4" width="6.5703125" style="1415" customWidth="1"/>
    <col min="5" max="5" width="19" style="1316" customWidth="1"/>
    <col min="6" max="6" width="10.5703125" style="1059" customWidth="1"/>
    <col min="7" max="7" width="11.7109375" style="1059" bestFit="1" customWidth="1"/>
    <col min="8" max="8" width="10.7109375" style="1059" customWidth="1" outlineLevel="1"/>
    <col min="9" max="9" width="10.42578125" style="1060" customWidth="1" outlineLevel="1"/>
    <col min="10" max="10" width="11.5703125" style="1060" customWidth="1" outlineLevel="1"/>
    <col min="11" max="11" width="10.42578125" style="1060" customWidth="1" outlineLevel="1"/>
    <col min="12" max="12" width="10.85546875" style="1060" customWidth="1" outlineLevel="1"/>
    <col min="13" max="13" width="12.28515625" style="1059" bestFit="1" customWidth="1"/>
    <col min="14" max="14" width="12.140625" style="1059" bestFit="1" customWidth="1" outlineLevel="1"/>
    <col min="15" max="16" width="10.85546875" style="1059" bestFit="1" customWidth="1" outlineLevel="1"/>
    <col min="17" max="18" width="11.7109375" style="1059" bestFit="1" customWidth="1" outlineLevel="1"/>
    <col min="19" max="19" width="8" style="1059" customWidth="1" outlineLevel="1"/>
    <col min="20" max="20" width="11.7109375" style="1059" bestFit="1" customWidth="1" outlineLevel="1"/>
    <col min="21" max="22" width="10.85546875" style="1059" bestFit="1" customWidth="1" outlineLevel="1"/>
    <col min="23" max="23" width="11.7109375" style="1059" bestFit="1" customWidth="1" outlineLevel="1"/>
    <col min="24" max="24" width="10.42578125" style="1059" customWidth="1" outlineLevel="1"/>
    <col min="25" max="25" width="11.7109375" style="1059" bestFit="1" customWidth="1" outlineLevel="1"/>
    <col min="26" max="180" width="9.85546875" style="1057" customWidth="1"/>
    <col min="181" max="222" width="9" style="1057"/>
    <col min="223" max="223" width="5" style="1057" customWidth="1"/>
    <col min="224" max="224" width="34.42578125" style="1057" customWidth="1"/>
    <col min="225" max="225" width="10.7109375" style="1057" customWidth="1"/>
    <col min="226" max="226" width="9.28515625" style="1057" customWidth="1"/>
    <col min="227" max="227" width="10.42578125" style="1057" customWidth="1"/>
    <col min="228" max="233" width="9.28515625" style="1057" customWidth="1"/>
    <col min="234" max="234" width="8.28515625" style="1057" customWidth="1"/>
    <col min="235" max="242" width="9.28515625" style="1057" customWidth="1"/>
    <col min="243" max="436" width="9.85546875" style="1057" customWidth="1"/>
    <col min="437" max="478" width="9" style="1057"/>
    <col min="479" max="479" width="5" style="1057" customWidth="1"/>
    <col min="480" max="480" width="34.42578125" style="1057" customWidth="1"/>
    <col min="481" max="481" width="10.7109375" style="1057" customWidth="1"/>
    <col min="482" max="482" width="9.28515625" style="1057" customWidth="1"/>
    <col min="483" max="483" width="10.42578125" style="1057" customWidth="1"/>
    <col min="484" max="489" width="9.28515625" style="1057" customWidth="1"/>
    <col min="490" max="490" width="8.28515625" style="1057" customWidth="1"/>
    <col min="491" max="498" width="9.28515625" style="1057" customWidth="1"/>
    <col min="499" max="692" width="9.85546875" style="1057" customWidth="1"/>
    <col min="693" max="734" width="9" style="1057"/>
    <col min="735" max="735" width="5" style="1057" customWidth="1"/>
    <col min="736" max="736" width="34.42578125" style="1057" customWidth="1"/>
    <col min="737" max="737" width="10.7109375" style="1057" customWidth="1"/>
    <col min="738" max="738" width="9.28515625" style="1057" customWidth="1"/>
    <col min="739" max="739" width="10.42578125" style="1057" customWidth="1"/>
    <col min="740" max="745" width="9.28515625" style="1057" customWidth="1"/>
    <col min="746" max="746" width="8.28515625" style="1057" customWidth="1"/>
    <col min="747" max="754" width="9.28515625" style="1057" customWidth="1"/>
    <col min="755" max="948" width="9.85546875" style="1057" customWidth="1"/>
    <col min="949" max="990" width="9" style="1057"/>
    <col min="991" max="991" width="5" style="1057" customWidth="1"/>
    <col min="992" max="992" width="34.42578125" style="1057" customWidth="1"/>
    <col min="993" max="993" width="10.7109375" style="1057" customWidth="1"/>
    <col min="994" max="994" width="9.28515625" style="1057" customWidth="1"/>
    <col min="995" max="995" width="10.42578125" style="1057" customWidth="1"/>
    <col min="996" max="1001" width="9.28515625" style="1057" customWidth="1"/>
    <col min="1002" max="1002" width="8.28515625" style="1057" customWidth="1"/>
    <col min="1003" max="1010" width="9.28515625" style="1057" customWidth="1"/>
    <col min="1011" max="1204" width="9.85546875" style="1057" customWidth="1"/>
    <col min="1205" max="1246" width="9" style="1057"/>
    <col min="1247" max="1247" width="5" style="1057" customWidth="1"/>
    <col min="1248" max="1248" width="34.42578125" style="1057" customWidth="1"/>
    <col min="1249" max="1249" width="10.7109375" style="1057" customWidth="1"/>
    <col min="1250" max="1250" width="9.28515625" style="1057" customWidth="1"/>
    <col min="1251" max="1251" width="10.42578125" style="1057" customWidth="1"/>
    <col min="1252" max="1257" width="9.28515625" style="1057" customWidth="1"/>
    <col min="1258" max="1258" width="8.28515625" style="1057" customWidth="1"/>
    <col min="1259" max="1266" width="9.28515625" style="1057" customWidth="1"/>
    <col min="1267" max="1460" width="9.85546875" style="1057" customWidth="1"/>
    <col min="1461" max="1502" width="9" style="1057"/>
    <col min="1503" max="1503" width="5" style="1057" customWidth="1"/>
    <col min="1504" max="1504" width="34.42578125" style="1057" customWidth="1"/>
    <col min="1505" max="1505" width="10.7109375" style="1057" customWidth="1"/>
    <col min="1506" max="1506" width="9.28515625" style="1057" customWidth="1"/>
    <col min="1507" max="1507" width="10.42578125" style="1057" customWidth="1"/>
    <col min="1508" max="1513" width="9.28515625" style="1057" customWidth="1"/>
    <col min="1514" max="1514" width="8.28515625" style="1057" customWidth="1"/>
    <col min="1515" max="1522" width="9.28515625" style="1057" customWidth="1"/>
    <col min="1523" max="1716" width="9.85546875" style="1057" customWidth="1"/>
    <col min="1717" max="1758" width="9" style="1057"/>
    <col min="1759" max="1759" width="5" style="1057" customWidth="1"/>
    <col min="1760" max="1760" width="34.42578125" style="1057" customWidth="1"/>
    <col min="1761" max="1761" width="10.7109375" style="1057" customWidth="1"/>
    <col min="1762" max="1762" width="9.28515625" style="1057" customWidth="1"/>
    <col min="1763" max="1763" width="10.42578125" style="1057" customWidth="1"/>
    <col min="1764" max="1769" width="9.28515625" style="1057" customWidth="1"/>
    <col min="1770" max="1770" width="8.28515625" style="1057" customWidth="1"/>
    <col min="1771" max="1778" width="9.28515625" style="1057" customWidth="1"/>
    <col min="1779" max="1972" width="9.85546875" style="1057" customWidth="1"/>
    <col min="1973" max="2014" width="9" style="1057"/>
    <col min="2015" max="2015" width="5" style="1057" customWidth="1"/>
    <col min="2016" max="2016" width="34.42578125" style="1057" customWidth="1"/>
    <col min="2017" max="2017" width="10.7109375" style="1057" customWidth="1"/>
    <col min="2018" max="2018" width="9.28515625" style="1057" customWidth="1"/>
    <col min="2019" max="2019" width="10.42578125" style="1057" customWidth="1"/>
    <col min="2020" max="2025" width="9.28515625" style="1057" customWidth="1"/>
    <col min="2026" max="2026" width="8.28515625" style="1057" customWidth="1"/>
    <col min="2027" max="2034" width="9.28515625" style="1057" customWidth="1"/>
    <col min="2035" max="2228" width="9.85546875" style="1057" customWidth="1"/>
    <col min="2229" max="2270" width="9" style="1057"/>
    <col min="2271" max="2271" width="5" style="1057" customWidth="1"/>
    <col min="2272" max="2272" width="34.42578125" style="1057" customWidth="1"/>
    <col min="2273" max="2273" width="10.7109375" style="1057" customWidth="1"/>
    <col min="2274" max="2274" width="9.28515625" style="1057" customWidth="1"/>
    <col min="2275" max="2275" width="10.42578125" style="1057" customWidth="1"/>
    <col min="2276" max="2281" width="9.28515625" style="1057" customWidth="1"/>
    <col min="2282" max="2282" width="8.28515625" style="1057" customWidth="1"/>
    <col min="2283" max="2290" width="9.28515625" style="1057" customWidth="1"/>
    <col min="2291" max="2484" width="9.85546875" style="1057" customWidth="1"/>
    <col min="2485" max="2526" width="9" style="1057"/>
    <col min="2527" max="2527" width="5" style="1057" customWidth="1"/>
    <col min="2528" max="2528" width="34.42578125" style="1057" customWidth="1"/>
    <col min="2529" max="2529" width="10.7109375" style="1057" customWidth="1"/>
    <col min="2530" max="2530" width="9.28515625" style="1057" customWidth="1"/>
    <col min="2531" max="2531" width="10.42578125" style="1057" customWidth="1"/>
    <col min="2532" max="2537" width="9.28515625" style="1057" customWidth="1"/>
    <col min="2538" max="2538" width="8.28515625" style="1057" customWidth="1"/>
    <col min="2539" max="2546" width="9.28515625" style="1057" customWidth="1"/>
    <col min="2547" max="2740" width="9.85546875" style="1057" customWidth="1"/>
    <col min="2741" max="2782" width="9" style="1057"/>
    <col min="2783" max="2783" width="5" style="1057" customWidth="1"/>
    <col min="2784" max="2784" width="34.42578125" style="1057" customWidth="1"/>
    <col min="2785" max="2785" width="10.7109375" style="1057" customWidth="1"/>
    <col min="2786" max="2786" width="9.28515625" style="1057" customWidth="1"/>
    <col min="2787" max="2787" width="10.42578125" style="1057" customWidth="1"/>
    <col min="2788" max="2793" width="9.28515625" style="1057" customWidth="1"/>
    <col min="2794" max="2794" width="8.28515625" style="1057" customWidth="1"/>
    <col min="2795" max="2802" width="9.28515625" style="1057" customWidth="1"/>
    <col min="2803" max="2996" width="9.85546875" style="1057" customWidth="1"/>
    <col min="2997" max="3038" width="9" style="1057"/>
    <col min="3039" max="3039" width="5" style="1057" customWidth="1"/>
    <col min="3040" max="3040" width="34.42578125" style="1057" customWidth="1"/>
    <col min="3041" max="3041" width="10.7109375" style="1057" customWidth="1"/>
    <col min="3042" max="3042" width="9.28515625" style="1057" customWidth="1"/>
    <col min="3043" max="3043" width="10.42578125" style="1057" customWidth="1"/>
    <col min="3044" max="3049" width="9.28515625" style="1057" customWidth="1"/>
    <col min="3050" max="3050" width="8.28515625" style="1057" customWidth="1"/>
    <col min="3051" max="3058" width="9.28515625" style="1057" customWidth="1"/>
    <col min="3059" max="3252" width="9.85546875" style="1057" customWidth="1"/>
    <col min="3253" max="3294" width="9" style="1057"/>
    <col min="3295" max="3295" width="5" style="1057" customWidth="1"/>
    <col min="3296" max="3296" width="34.42578125" style="1057" customWidth="1"/>
    <col min="3297" max="3297" width="10.7109375" style="1057" customWidth="1"/>
    <col min="3298" max="3298" width="9.28515625" style="1057" customWidth="1"/>
    <col min="3299" max="3299" width="10.42578125" style="1057" customWidth="1"/>
    <col min="3300" max="3305" width="9.28515625" style="1057" customWidth="1"/>
    <col min="3306" max="3306" width="8.28515625" style="1057" customWidth="1"/>
    <col min="3307" max="3314" width="9.28515625" style="1057" customWidth="1"/>
    <col min="3315" max="3508" width="9.85546875" style="1057" customWidth="1"/>
    <col min="3509" max="3550" width="9" style="1057"/>
    <col min="3551" max="3551" width="5" style="1057" customWidth="1"/>
    <col min="3552" max="3552" width="34.42578125" style="1057" customWidth="1"/>
    <col min="3553" max="3553" width="10.7109375" style="1057" customWidth="1"/>
    <col min="3554" max="3554" width="9.28515625" style="1057" customWidth="1"/>
    <col min="3555" max="3555" width="10.42578125" style="1057" customWidth="1"/>
    <col min="3556" max="3561" width="9.28515625" style="1057" customWidth="1"/>
    <col min="3562" max="3562" width="8.28515625" style="1057" customWidth="1"/>
    <col min="3563" max="3570" width="9.28515625" style="1057" customWidth="1"/>
    <col min="3571" max="3764" width="9.85546875" style="1057" customWidth="1"/>
    <col min="3765" max="3806" width="9" style="1057"/>
    <col min="3807" max="3807" width="5" style="1057" customWidth="1"/>
    <col min="3808" max="3808" width="34.42578125" style="1057" customWidth="1"/>
    <col min="3809" max="3809" width="10.7109375" style="1057" customWidth="1"/>
    <col min="3810" max="3810" width="9.28515625" style="1057" customWidth="1"/>
    <col min="3811" max="3811" width="10.42578125" style="1057" customWidth="1"/>
    <col min="3812" max="3817" width="9.28515625" style="1057" customWidth="1"/>
    <col min="3818" max="3818" width="8.28515625" style="1057" customWidth="1"/>
    <col min="3819" max="3826" width="9.28515625" style="1057" customWidth="1"/>
    <col min="3827" max="4020" width="9.85546875" style="1057" customWidth="1"/>
    <col min="4021" max="4062" width="9" style="1057"/>
    <col min="4063" max="4063" width="5" style="1057" customWidth="1"/>
    <col min="4064" max="4064" width="34.42578125" style="1057" customWidth="1"/>
    <col min="4065" max="4065" width="10.7109375" style="1057" customWidth="1"/>
    <col min="4066" max="4066" width="9.28515625" style="1057" customWidth="1"/>
    <col min="4067" max="4067" width="10.42578125" style="1057" customWidth="1"/>
    <col min="4068" max="4073" width="9.28515625" style="1057" customWidth="1"/>
    <col min="4074" max="4074" width="8.28515625" style="1057" customWidth="1"/>
    <col min="4075" max="4082" width="9.28515625" style="1057" customWidth="1"/>
    <col min="4083" max="4276" width="9.85546875" style="1057" customWidth="1"/>
    <col min="4277" max="4318" width="9" style="1057"/>
    <col min="4319" max="4319" width="5" style="1057" customWidth="1"/>
    <col min="4320" max="4320" width="34.42578125" style="1057" customWidth="1"/>
    <col min="4321" max="4321" width="10.7109375" style="1057" customWidth="1"/>
    <col min="4322" max="4322" width="9.28515625" style="1057" customWidth="1"/>
    <col min="4323" max="4323" width="10.42578125" style="1057" customWidth="1"/>
    <col min="4324" max="4329" width="9.28515625" style="1057" customWidth="1"/>
    <col min="4330" max="4330" width="8.28515625" style="1057" customWidth="1"/>
    <col min="4331" max="4338" width="9.28515625" style="1057" customWidth="1"/>
    <col min="4339" max="4532" width="9.85546875" style="1057" customWidth="1"/>
    <col min="4533" max="4574" width="9" style="1057"/>
    <col min="4575" max="4575" width="5" style="1057" customWidth="1"/>
    <col min="4576" max="4576" width="34.42578125" style="1057" customWidth="1"/>
    <col min="4577" max="4577" width="10.7109375" style="1057" customWidth="1"/>
    <col min="4578" max="4578" width="9.28515625" style="1057" customWidth="1"/>
    <col min="4579" max="4579" width="10.42578125" style="1057" customWidth="1"/>
    <col min="4580" max="4585" width="9.28515625" style="1057" customWidth="1"/>
    <col min="4586" max="4586" width="8.28515625" style="1057" customWidth="1"/>
    <col min="4587" max="4594" width="9.28515625" style="1057" customWidth="1"/>
    <col min="4595" max="4788" width="9.85546875" style="1057" customWidth="1"/>
    <col min="4789" max="4830" width="9" style="1057"/>
    <col min="4831" max="4831" width="5" style="1057" customWidth="1"/>
    <col min="4832" max="4832" width="34.42578125" style="1057" customWidth="1"/>
    <col min="4833" max="4833" width="10.7109375" style="1057" customWidth="1"/>
    <col min="4834" max="4834" width="9.28515625" style="1057" customWidth="1"/>
    <col min="4835" max="4835" width="10.42578125" style="1057" customWidth="1"/>
    <col min="4836" max="4841" width="9.28515625" style="1057" customWidth="1"/>
    <col min="4842" max="4842" width="8.28515625" style="1057" customWidth="1"/>
    <col min="4843" max="4850" width="9.28515625" style="1057" customWidth="1"/>
    <col min="4851" max="5044" width="9.85546875" style="1057" customWidth="1"/>
    <col min="5045" max="5086" width="9" style="1057"/>
    <col min="5087" max="5087" width="5" style="1057" customWidth="1"/>
    <col min="5088" max="5088" width="34.42578125" style="1057" customWidth="1"/>
    <col min="5089" max="5089" width="10.7109375" style="1057" customWidth="1"/>
    <col min="5090" max="5090" width="9.28515625" style="1057" customWidth="1"/>
    <col min="5091" max="5091" width="10.42578125" style="1057" customWidth="1"/>
    <col min="5092" max="5097" width="9.28515625" style="1057" customWidth="1"/>
    <col min="5098" max="5098" width="8.28515625" style="1057" customWidth="1"/>
    <col min="5099" max="5106" width="9.28515625" style="1057" customWidth="1"/>
    <col min="5107" max="5300" width="9.85546875" style="1057" customWidth="1"/>
    <col min="5301" max="5342" width="9" style="1057"/>
    <col min="5343" max="5343" width="5" style="1057" customWidth="1"/>
    <col min="5344" max="5344" width="34.42578125" style="1057" customWidth="1"/>
    <col min="5345" max="5345" width="10.7109375" style="1057" customWidth="1"/>
    <col min="5346" max="5346" width="9.28515625" style="1057" customWidth="1"/>
    <col min="5347" max="5347" width="10.42578125" style="1057" customWidth="1"/>
    <col min="5348" max="5353" width="9.28515625" style="1057" customWidth="1"/>
    <col min="5354" max="5354" width="8.28515625" style="1057" customWidth="1"/>
    <col min="5355" max="5362" width="9.28515625" style="1057" customWidth="1"/>
    <col min="5363" max="5556" width="9.85546875" style="1057" customWidth="1"/>
    <col min="5557" max="5598" width="9" style="1057"/>
    <col min="5599" max="5599" width="5" style="1057" customWidth="1"/>
    <col min="5600" max="5600" width="34.42578125" style="1057" customWidth="1"/>
    <col min="5601" max="5601" width="10.7109375" style="1057" customWidth="1"/>
    <col min="5602" max="5602" width="9.28515625" style="1057" customWidth="1"/>
    <col min="5603" max="5603" width="10.42578125" style="1057" customWidth="1"/>
    <col min="5604" max="5609" width="9.28515625" style="1057" customWidth="1"/>
    <col min="5610" max="5610" width="8.28515625" style="1057" customWidth="1"/>
    <col min="5611" max="5618" width="9.28515625" style="1057" customWidth="1"/>
    <col min="5619" max="5812" width="9.85546875" style="1057" customWidth="1"/>
    <col min="5813" max="5854" width="9" style="1057"/>
    <col min="5855" max="5855" width="5" style="1057" customWidth="1"/>
    <col min="5856" max="5856" width="34.42578125" style="1057" customWidth="1"/>
    <col min="5857" max="5857" width="10.7109375" style="1057" customWidth="1"/>
    <col min="5858" max="5858" width="9.28515625" style="1057" customWidth="1"/>
    <col min="5859" max="5859" width="10.42578125" style="1057" customWidth="1"/>
    <col min="5860" max="5865" width="9.28515625" style="1057" customWidth="1"/>
    <col min="5866" max="5866" width="8.28515625" style="1057" customWidth="1"/>
    <col min="5867" max="5874" width="9.28515625" style="1057" customWidth="1"/>
    <col min="5875" max="6068" width="9.85546875" style="1057" customWidth="1"/>
    <col min="6069" max="6110" width="9" style="1057"/>
    <col min="6111" max="6111" width="5" style="1057" customWidth="1"/>
    <col min="6112" max="6112" width="34.42578125" style="1057" customWidth="1"/>
    <col min="6113" max="6113" width="10.7109375" style="1057" customWidth="1"/>
    <col min="6114" max="6114" width="9.28515625" style="1057" customWidth="1"/>
    <col min="6115" max="6115" width="10.42578125" style="1057" customWidth="1"/>
    <col min="6116" max="6121" width="9.28515625" style="1057" customWidth="1"/>
    <col min="6122" max="6122" width="8.28515625" style="1057" customWidth="1"/>
    <col min="6123" max="6130" width="9.28515625" style="1057" customWidth="1"/>
    <col min="6131" max="6324" width="9.85546875" style="1057" customWidth="1"/>
    <col min="6325" max="6366" width="9" style="1057"/>
    <col min="6367" max="6367" width="5" style="1057" customWidth="1"/>
    <col min="6368" max="6368" width="34.42578125" style="1057" customWidth="1"/>
    <col min="6369" max="6369" width="10.7109375" style="1057" customWidth="1"/>
    <col min="6370" max="6370" width="9.28515625" style="1057" customWidth="1"/>
    <col min="6371" max="6371" width="10.42578125" style="1057" customWidth="1"/>
    <col min="6372" max="6377" width="9.28515625" style="1057" customWidth="1"/>
    <col min="6378" max="6378" width="8.28515625" style="1057" customWidth="1"/>
    <col min="6379" max="6386" width="9.28515625" style="1057" customWidth="1"/>
    <col min="6387" max="6580" width="9.85546875" style="1057" customWidth="1"/>
    <col min="6581" max="6622" width="9" style="1057"/>
    <col min="6623" max="6623" width="5" style="1057" customWidth="1"/>
    <col min="6624" max="6624" width="34.42578125" style="1057" customWidth="1"/>
    <col min="6625" max="6625" width="10.7109375" style="1057" customWidth="1"/>
    <col min="6626" max="6626" width="9.28515625" style="1057" customWidth="1"/>
    <col min="6627" max="6627" width="10.42578125" style="1057" customWidth="1"/>
    <col min="6628" max="6633" width="9.28515625" style="1057" customWidth="1"/>
    <col min="6634" max="6634" width="8.28515625" style="1057" customWidth="1"/>
    <col min="6635" max="6642" width="9.28515625" style="1057" customWidth="1"/>
    <col min="6643" max="6836" width="9.85546875" style="1057" customWidth="1"/>
    <col min="6837" max="6878" width="9" style="1057"/>
    <col min="6879" max="6879" width="5" style="1057" customWidth="1"/>
    <col min="6880" max="6880" width="34.42578125" style="1057" customWidth="1"/>
    <col min="6881" max="6881" width="10.7109375" style="1057" customWidth="1"/>
    <col min="6882" max="6882" width="9.28515625" style="1057" customWidth="1"/>
    <col min="6883" max="6883" width="10.42578125" style="1057" customWidth="1"/>
    <col min="6884" max="6889" width="9.28515625" style="1057" customWidth="1"/>
    <col min="6890" max="6890" width="8.28515625" style="1057" customWidth="1"/>
    <col min="6891" max="6898" width="9.28515625" style="1057" customWidth="1"/>
    <col min="6899" max="7092" width="9.85546875" style="1057" customWidth="1"/>
    <col min="7093" max="7134" width="9" style="1057"/>
    <col min="7135" max="7135" width="5" style="1057" customWidth="1"/>
    <col min="7136" max="7136" width="34.42578125" style="1057" customWidth="1"/>
    <col min="7137" max="7137" width="10.7109375" style="1057" customWidth="1"/>
    <col min="7138" max="7138" width="9.28515625" style="1057" customWidth="1"/>
    <col min="7139" max="7139" width="10.42578125" style="1057" customWidth="1"/>
    <col min="7140" max="7145" width="9.28515625" style="1057" customWidth="1"/>
    <col min="7146" max="7146" width="8.28515625" style="1057" customWidth="1"/>
    <col min="7147" max="7154" width="9.28515625" style="1057" customWidth="1"/>
    <col min="7155" max="7348" width="9.85546875" style="1057" customWidth="1"/>
    <col min="7349" max="7390" width="9" style="1057"/>
    <col min="7391" max="7391" width="5" style="1057" customWidth="1"/>
    <col min="7392" max="7392" width="34.42578125" style="1057" customWidth="1"/>
    <col min="7393" max="7393" width="10.7109375" style="1057" customWidth="1"/>
    <col min="7394" max="7394" width="9.28515625" style="1057" customWidth="1"/>
    <col min="7395" max="7395" width="10.42578125" style="1057" customWidth="1"/>
    <col min="7396" max="7401" width="9.28515625" style="1057" customWidth="1"/>
    <col min="7402" max="7402" width="8.28515625" style="1057" customWidth="1"/>
    <col min="7403" max="7410" width="9.28515625" style="1057" customWidth="1"/>
    <col min="7411" max="7604" width="9.85546875" style="1057" customWidth="1"/>
    <col min="7605" max="7646" width="9" style="1057"/>
    <col min="7647" max="7647" width="5" style="1057" customWidth="1"/>
    <col min="7648" max="7648" width="34.42578125" style="1057" customWidth="1"/>
    <col min="7649" max="7649" width="10.7109375" style="1057" customWidth="1"/>
    <col min="7650" max="7650" width="9.28515625" style="1057" customWidth="1"/>
    <col min="7651" max="7651" width="10.42578125" style="1057" customWidth="1"/>
    <col min="7652" max="7657" width="9.28515625" style="1057" customWidth="1"/>
    <col min="7658" max="7658" width="8.28515625" style="1057" customWidth="1"/>
    <col min="7659" max="7666" width="9.28515625" style="1057" customWidth="1"/>
    <col min="7667" max="7860" width="9.85546875" style="1057" customWidth="1"/>
    <col min="7861" max="7902" width="9" style="1057"/>
    <col min="7903" max="7903" width="5" style="1057" customWidth="1"/>
    <col min="7904" max="7904" width="34.42578125" style="1057" customWidth="1"/>
    <col min="7905" max="7905" width="10.7109375" style="1057" customWidth="1"/>
    <col min="7906" max="7906" width="9.28515625" style="1057" customWidth="1"/>
    <col min="7907" max="7907" width="10.42578125" style="1057" customWidth="1"/>
    <col min="7908" max="7913" width="9.28515625" style="1057" customWidth="1"/>
    <col min="7914" max="7914" width="8.28515625" style="1057" customWidth="1"/>
    <col min="7915" max="7922" width="9.28515625" style="1057" customWidth="1"/>
    <col min="7923" max="8116" width="9.85546875" style="1057" customWidth="1"/>
    <col min="8117" max="8158" width="9" style="1057"/>
    <col min="8159" max="8159" width="5" style="1057" customWidth="1"/>
    <col min="8160" max="8160" width="34.42578125" style="1057" customWidth="1"/>
    <col min="8161" max="8161" width="10.7109375" style="1057" customWidth="1"/>
    <col min="8162" max="8162" width="9.28515625" style="1057" customWidth="1"/>
    <col min="8163" max="8163" width="10.42578125" style="1057" customWidth="1"/>
    <col min="8164" max="8169" width="9.28515625" style="1057" customWidth="1"/>
    <col min="8170" max="8170" width="8.28515625" style="1057" customWidth="1"/>
    <col min="8171" max="8178" width="9.28515625" style="1057" customWidth="1"/>
    <col min="8179" max="8372" width="9.85546875" style="1057" customWidth="1"/>
    <col min="8373" max="8414" width="9" style="1057"/>
    <col min="8415" max="8415" width="5" style="1057" customWidth="1"/>
    <col min="8416" max="8416" width="34.42578125" style="1057" customWidth="1"/>
    <col min="8417" max="8417" width="10.7109375" style="1057" customWidth="1"/>
    <col min="8418" max="8418" width="9.28515625" style="1057" customWidth="1"/>
    <col min="8419" max="8419" width="10.42578125" style="1057" customWidth="1"/>
    <col min="8420" max="8425" width="9.28515625" style="1057" customWidth="1"/>
    <col min="8426" max="8426" width="8.28515625" style="1057" customWidth="1"/>
    <col min="8427" max="8434" width="9.28515625" style="1057" customWidth="1"/>
    <col min="8435" max="8628" width="9.85546875" style="1057" customWidth="1"/>
    <col min="8629" max="8670" width="9" style="1057"/>
    <col min="8671" max="8671" width="5" style="1057" customWidth="1"/>
    <col min="8672" max="8672" width="34.42578125" style="1057" customWidth="1"/>
    <col min="8673" max="8673" width="10.7109375" style="1057" customWidth="1"/>
    <col min="8674" max="8674" width="9.28515625" style="1057" customWidth="1"/>
    <col min="8675" max="8675" width="10.42578125" style="1057" customWidth="1"/>
    <col min="8676" max="8681" width="9.28515625" style="1057" customWidth="1"/>
    <col min="8682" max="8682" width="8.28515625" style="1057" customWidth="1"/>
    <col min="8683" max="8690" width="9.28515625" style="1057" customWidth="1"/>
    <col min="8691" max="8884" width="9.85546875" style="1057" customWidth="1"/>
    <col min="8885" max="8926" width="9" style="1057"/>
    <col min="8927" max="8927" width="5" style="1057" customWidth="1"/>
    <col min="8928" max="8928" width="34.42578125" style="1057" customWidth="1"/>
    <col min="8929" max="8929" width="10.7109375" style="1057" customWidth="1"/>
    <col min="8930" max="8930" width="9.28515625" style="1057" customWidth="1"/>
    <col min="8931" max="8931" width="10.42578125" style="1057" customWidth="1"/>
    <col min="8932" max="8937" width="9.28515625" style="1057" customWidth="1"/>
    <col min="8938" max="8938" width="8.28515625" style="1057" customWidth="1"/>
    <col min="8939" max="8946" width="9.28515625" style="1057" customWidth="1"/>
    <col min="8947" max="9140" width="9.85546875" style="1057" customWidth="1"/>
    <col min="9141" max="9182" width="9" style="1057"/>
    <col min="9183" max="9183" width="5" style="1057" customWidth="1"/>
    <col min="9184" max="9184" width="34.42578125" style="1057" customWidth="1"/>
    <col min="9185" max="9185" width="10.7109375" style="1057" customWidth="1"/>
    <col min="9186" max="9186" width="9.28515625" style="1057" customWidth="1"/>
    <col min="9187" max="9187" width="10.42578125" style="1057" customWidth="1"/>
    <col min="9188" max="9193" width="9.28515625" style="1057" customWidth="1"/>
    <col min="9194" max="9194" width="8.28515625" style="1057" customWidth="1"/>
    <col min="9195" max="9202" width="9.28515625" style="1057" customWidth="1"/>
    <col min="9203" max="9396" width="9.85546875" style="1057" customWidth="1"/>
    <col min="9397" max="9438" width="9" style="1057"/>
    <col min="9439" max="9439" width="5" style="1057" customWidth="1"/>
    <col min="9440" max="9440" width="34.42578125" style="1057" customWidth="1"/>
    <col min="9441" max="9441" width="10.7109375" style="1057" customWidth="1"/>
    <col min="9442" max="9442" width="9.28515625" style="1057" customWidth="1"/>
    <col min="9443" max="9443" width="10.42578125" style="1057" customWidth="1"/>
    <col min="9444" max="9449" width="9.28515625" style="1057" customWidth="1"/>
    <col min="9450" max="9450" width="8.28515625" style="1057" customWidth="1"/>
    <col min="9451" max="9458" width="9.28515625" style="1057" customWidth="1"/>
    <col min="9459" max="9652" width="9.85546875" style="1057" customWidth="1"/>
    <col min="9653" max="9694" width="9" style="1057"/>
    <col min="9695" max="9695" width="5" style="1057" customWidth="1"/>
    <col min="9696" max="9696" width="34.42578125" style="1057" customWidth="1"/>
    <col min="9697" max="9697" width="10.7109375" style="1057" customWidth="1"/>
    <col min="9698" max="9698" width="9.28515625" style="1057" customWidth="1"/>
    <col min="9699" max="9699" width="10.42578125" style="1057" customWidth="1"/>
    <col min="9700" max="9705" width="9.28515625" style="1057" customWidth="1"/>
    <col min="9706" max="9706" width="8.28515625" style="1057" customWidth="1"/>
    <col min="9707" max="9714" width="9.28515625" style="1057" customWidth="1"/>
    <col min="9715" max="9908" width="9.85546875" style="1057" customWidth="1"/>
    <col min="9909" max="9950" width="9" style="1057"/>
    <col min="9951" max="9951" width="5" style="1057" customWidth="1"/>
    <col min="9952" max="9952" width="34.42578125" style="1057" customWidth="1"/>
    <col min="9953" max="9953" width="10.7109375" style="1057" customWidth="1"/>
    <col min="9954" max="9954" width="9.28515625" style="1057" customWidth="1"/>
    <col min="9955" max="9955" width="10.42578125" style="1057" customWidth="1"/>
    <col min="9956" max="9961" width="9.28515625" style="1057" customWidth="1"/>
    <col min="9962" max="9962" width="8.28515625" style="1057" customWidth="1"/>
    <col min="9963" max="9970" width="9.28515625" style="1057" customWidth="1"/>
    <col min="9971" max="10164" width="9.85546875" style="1057" customWidth="1"/>
    <col min="10165" max="10206" width="9" style="1057"/>
    <col min="10207" max="10207" width="5" style="1057" customWidth="1"/>
    <col min="10208" max="10208" width="34.42578125" style="1057" customWidth="1"/>
    <col min="10209" max="10209" width="10.7109375" style="1057" customWidth="1"/>
    <col min="10210" max="10210" width="9.28515625" style="1057" customWidth="1"/>
    <col min="10211" max="10211" width="10.42578125" style="1057" customWidth="1"/>
    <col min="10212" max="10217" width="9.28515625" style="1057" customWidth="1"/>
    <col min="10218" max="10218" width="8.28515625" style="1057" customWidth="1"/>
    <col min="10219" max="10226" width="9.28515625" style="1057" customWidth="1"/>
    <col min="10227" max="10420" width="9.85546875" style="1057" customWidth="1"/>
    <col min="10421" max="10462" width="9" style="1057"/>
    <col min="10463" max="10463" width="5" style="1057" customWidth="1"/>
    <col min="10464" max="10464" width="34.42578125" style="1057" customWidth="1"/>
    <col min="10465" max="10465" width="10.7109375" style="1057" customWidth="1"/>
    <col min="10466" max="10466" width="9.28515625" style="1057" customWidth="1"/>
    <col min="10467" max="10467" width="10.42578125" style="1057" customWidth="1"/>
    <col min="10468" max="10473" width="9.28515625" style="1057" customWidth="1"/>
    <col min="10474" max="10474" width="8.28515625" style="1057" customWidth="1"/>
    <col min="10475" max="10482" width="9.28515625" style="1057" customWidth="1"/>
    <col min="10483" max="10676" width="9.85546875" style="1057" customWidth="1"/>
    <col min="10677" max="10718" width="9" style="1057"/>
    <col min="10719" max="10719" width="5" style="1057" customWidth="1"/>
    <col min="10720" max="10720" width="34.42578125" style="1057" customWidth="1"/>
    <col min="10721" max="10721" width="10.7109375" style="1057" customWidth="1"/>
    <col min="10722" max="10722" width="9.28515625" style="1057" customWidth="1"/>
    <col min="10723" max="10723" width="10.42578125" style="1057" customWidth="1"/>
    <col min="10724" max="10729" width="9.28515625" style="1057" customWidth="1"/>
    <col min="10730" max="10730" width="8.28515625" style="1057" customWidth="1"/>
    <col min="10731" max="10738" width="9.28515625" style="1057" customWidth="1"/>
    <col min="10739" max="10932" width="9.85546875" style="1057" customWidth="1"/>
    <col min="10933" max="10974" width="9" style="1057"/>
    <col min="10975" max="10975" width="5" style="1057" customWidth="1"/>
    <col min="10976" max="10976" width="34.42578125" style="1057" customWidth="1"/>
    <col min="10977" max="10977" width="10.7109375" style="1057" customWidth="1"/>
    <col min="10978" max="10978" width="9.28515625" style="1057" customWidth="1"/>
    <col min="10979" max="10979" width="10.42578125" style="1057" customWidth="1"/>
    <col min="10980" max="10985" width="9.28515625" style="1057" customWidth="1"/>
    <col min="10986" max="10986" width="8.28515625" style="1057" customWidth="1"/>
    <col min="10987" max="10994" width="9.28515625" style="1057" customWidth="1"/>
    <col min="10995" max="11188" width="9.85546875" style="1057" customWidth="1"/>
    <col min="11189" max="11230" width="9" style="1057"/>
    <col min="11231" max="11231" width="5" style="1057" customWidth="1"/>
    <col min="11232" max="11232" width="34.42578125" style="1057" customWidth="1"/>
    <col min="11233" max="11233" width="10.7109375" style="1057" customWidth="1"/>
    <col min="11234" max="11234" width="9.28515625" style="1057" customWidth="1"/>
    <col min="11235" max="11235" width="10.42578125" style="1057" customWidth="1"/>
    <col min="11236" max="11241" width="9.28515625" style="1057" customWidth="1"/>
    <col min="11242" max="11242" width="8.28515625" style="1057" customWidth="1"/>
    <col min="11243" max="11250" width="9.28515625" style="1057" customWidth="1"/>
    <col min="11251" max="11444" width="9.85546875" style="1057" customWidth="1"/>
    <col min="11445" max="11486" width="9" style="1057"/>
    <col min="11487" max="11487" width="5" style="1057" customWidth="1"/>
    <col min="11488" max="11488" width="34.42578125" style="1057" customWidth="1"/>
    <col min="11489" max="11489" width="10.7109375" style="1057" customWidth="1"/>
    <col min="11490" max="11490" width="9.28515625" style="1057" customWidth="1"/>
    <col min="11491" max="11491" width="10.42578125" style="1057" customWidth="1"/>
    <col min="11492" max="11497" width="9.28515625" style="1057" customWidth="1"/>
    <col min="11498" max="11498" width="8.28515625" style="1057" customWidth="1"/>
    <col min="11499" max="11506" width="9.28515625" style="1057" customWidth="1"/>
    <col min="11507" max="11700" width="9.85546875" style="1057" customWidth="1"/>
    <col min="11701" max="11742" width="9" style="1057"/>
    <col min="11743" max="11743" width="5" style="1057" customWidth="1"/>
    <col min="11744" max="11744" width="34.42578125" style="1057" customWidth="1"/>
    <col min="11745" max="11745" width="10.7109375" style="1057" customWidth="1"/>
    <col min="11746" max="11746" width="9.28515625" style="1057" customWidth="1"/>
    <col min="11747" max="11747" width="10.42578125" style="1057" customWidth="1"/>
    <col min="11748" max="11753" width="9.28515625" style="1057" customWidth="1"/>
    <col min="11754" max="11754" width="8.28515625" style="1057" customWidth="1"/>
    <col min="11755" max="11762" width="9.28515625" style="1057" customWidth="1"/>
    <col min="11763" max="11956" width="9.85546875" style="1057" customWidth="1"/>
    <col min="11957" max="11998" width="9" style="1057"/>
    <col min="11999" max="11999" width="5" style="1057" customWidth="1"/>
    <col min="12000" max="12000" width="34.42578125" style="1057" customWidth="1"/>
    <col min="12001" max="12001" width="10.7109375" style="1057" customWidth="1"/>
    <col min="12002" max="12002" width="9.28515625" style="1057" customWidth="1"/>
    <col min="12003" max="12003" width="10.42578125" style="1057" customWidth="1"/>
    <col min="12004" max="12009" width="9.28515625" style="1057" customWidth="1"/>
    <col min="12010" max="12010" width="8.28515625" style="1057" customWidth="1"/>
    <col min="12011" max="12018" width="9.28515625" style="1057" customWidth="1"/>
    <col min="12019" max="12212" width="9.85546875" style="1057" customWidth="1"/>
    <col min="12213" max="12254" width="9" style="1057"/>
    <col min="12255" max="12255" width="5" style="1057" customWidth="1"/>
    <col min="12256" max="12256" width="34.42578125" style="1057" customWidth="1"/>
    <col min="12257" max="12257" width="10.7109375" style="1057" customWidth="1"/>
    <col min="12258" max="12258" width="9.28515625" style="1057" customWidth="1"/>
    <col min="12259" max="12259" width="10.42578125" style="1057" customWidth="1"/>
    <col min="12260" max="12265" width="9.28515625" style="1057" customWidth="1"/>
    <col min="12266" max="12266" width="8.28515625" style="1057" customWidth="1"/>
    <col min="12267" max="12274" width="9.28515625" style="1057" customWidth="1"/>
    <col min="12275" max="12468" width="9.85546875" style="1057" customWidth="1"/>
    <col min="12469" max="12510" width="9" style="1057"/>
    <col min="12511" max="12511" width="5" style="1057" customWidth="1"/>
    <col min="12512" max="12512" width="34.42578125" style="1057" customWidth="1"/>
    <col min="12513" max="12513" width="10.7109375" style="1057" customWidth="1"/>
    <col min="12514" max="12514" width="9.28515625" style="1057" customWidth="1"/>
    <col min="12515" max="12515" width="10.42578125" style="1057" customWidth="1"/>
    <col min="12516" max="12521" width="9.28515625" style="1057" customWidth="1"/>
    <col min="12522" max="12522" width="8.28515625" style="1057" customWidth="1"/>
    <col min="12523" max="12530" width="9.28515625" style="1057" customWidth="1"/>
    <col min="12531" max="12724" width="9.85546875" style="1057" customWidth="1"/>
    <col min="12725" max="12766" width="9" style="1057"/>
    <col min="12767" max="12767" width="5" style="1057" customWidth="1"/>
    <col min="12768" max="12768" width="34.42578125" style="1057" customWidth="1"/>
    <col min="12769" max="12769" width="10.7109375" style="1057" customWidth="1"/>
    <col min="12770" max="12770" width="9.28515625" style="1057" customWidth="1"/>
    <col min="12771" max="12771" width="10.42578125" style="1057" customWidth="1"/>
    <col min="12772" max="12777" width="9.28515625" style="1057" customWidth="1"/>
    <col min="12778" max="12778" width="8.28515625" style="1057" customWidth="1"/>
    <col min="12779" max="12786" width="9.28515625" style="1057" customWidth="1"/>
    <col min="12787" max="12980" width="9.85546875" style="1057" customWidth="1"/>
    <col min="12981" max="13022" width="9" style="1057"/>
    <col min="13023" max="13023" width="5" style="1057" customWidth="1"/>
    <col min="13024" max="13024" width="34.42578125" style="1057" customWidth="1"/>
    <col min="13025" max="13025" width="10.7109375" style="1057" customWidth="1"/>
    <col min="13026" max="13026" width="9.28515625" style="1057" customWidth="1"/>
    <col min="13027" max="13027" width="10.42578125" style="1057" customWidth="1"/>
    <col min="13028" max="13033" width="9.28515625" style="1057" customWidth="1"/>
    <col min="13034" max="13034" width="8.28515625" style="1057" customWidth="1"/>
    <col min="13035" max="13042" width="9.28515625" style="1057" customWidth="1"/>
    <col min="13043" max="13236" width="9.85546875" style="1057" customWidth="1"/>
    <col min="13237" max="13278" width="9" style="1057"/>
    <col min="13279" max="13279" width="5" style="1057" customWidth="1"/>
    <col min="13280" max="13280" width="34.42578125" style="1057" customWidth="1"/>
    <col min="13281" max="13281" width="10.7109375" style="1057" customWidth="1"/>
    <col min="13282" max="13282" width="9.28515625" style="1057" customWidth="1"/>
    <col min="13283" max="13283" width="10.42578125" style="1057" customWidth="1"/>
    <col min="13284" max="13289" width="9.28515625" style="1057" customWidth="1"/>
    <col min="13290" max="13290" width="8.28515625" style="1057" customWidth="1"/>
    <col min="13291" max="13298" width="9.28515625" style="1057" customWidth="1"/>
    <col min="13299" max="13492" width="9.85546875" style="1057" customWidth="1"/>
    <col min="13493" max="13534" width="9" style="1057"/>
    <col min="13535" max="13535" width="5" style="1057" customWidth="1"/>
    <col min="13536" max="13536" width="34.42578125" style="1057" customWidth="1"/>
    <col min="13537" max="13537" width="10.7109375" style="1057" customWidth="1"/>
    <col min="13538" max="13538" width="9.28515625" style="1057" customWidth="1"/>
    <col min="13539" max="13539" width="10.42578125" style="1057" customWidth="1"/>
    <col min="13540" max="13545" width="9.28515625" style="1057" customWidth="1"/>
    <col min="13546" max="13546" width="8.28515625" style="1057" customWidth="1"/>
    <col min="13547" max="13554" width="9.28515625" style="1057" customWidth="1"/>
    <col min="13555" max="13748" width="9.85546875" style="1057" customWidth="1"/>
    <col min="13749" max="13790" width="9" style="1057"/>
    <col min="13791" max="13791" width="5" style="1057" customWidth="1"/>
    <col min="13792" max="13792" width="34.42578125" style="1057" customWidth="1"/>
    <col min="13793" max="13793" width="10.7109375" style="1057" customWidth="1"/>
    <col min="13794" max="13794" width="9.28515625" style="1057" customWidth="1"/>
    <col min="13795" max="13795" width="10.42578125" style="1057" customWidth="1"/>
    <col min="13796" max="13801" width="9.28515625" style="1057" customWidth="1"/>
    <col min="13802" max="13802" width="8.28515625" style="1057" customWidth="1"/>
    <col min="13803" max="13810" width="9.28515625" style="1057" customWidth="1"/>
    <col min="13811" max="14004" width="9.85546875" style="1057" customWidth="1"/>
    <col min="14005" max="14046" width="9" style="1057"/>
    <col min="14047" max="14047" width="5" style="1057" customWidth="1"/>
    <col min="14048" max="14048" width="34.42578125" style="1057" customWidth="1"/>
    <col min="14049" max="14049" width="10.7109375" style="1057" customWidth="1"/>
    <col min="14050" max="14050" width="9.28515625" style="1057" customWidth="1"/>
    <col min="14051" max="14051" width="10.42578125" style="1057" customWidth="1"/>
    <col min="14052" max="14057" width="9.28515625" style="1057" customWidth="1"/>
    <col min="14058" max="14058" width="8.28515625" style="1057" customWidth="1"/>
    <col min="14059" max="14066" width="9.28515625" style="1057" customWidth="1"/>
    <col min="14067" max="14260" width="9.85546875" style="1057" customWidth="1"/>
    <col min="14261" max="14302" width="9" style="1057"/>
    <col min="14303" max="14303" width="5" style="1057" customWidth="1"/>
    <col min="14304" max="14304" width="34.42578125" style="1057" customWidth="1"/>
    <col min="14305" max="14305" width="10.7109375" style="1057" customWidth="1"/>
    <col min="14306" max="14306" width="9.28515625" style="1057" customWidth="1"/>
    <col min="14307" max="14307" width="10.42578125" style="1057" customWidth="1"/>
    <col min="14308" max="14313" width="9.28515625" style="1057" customWidth="1"/>
    <col min="14314" max="14314" width="8.28515625" style="1057" customWidth="1"/>
    <col min="14315" max="14322" width="9.28515625" style="1057" customWidth="1"/>
    <col min="14323" max="14516" width="9.85546875" style="1057" customWidth="1"/>
    <col min="14517" max="14558" width="9" style="1057"/>
    <col min="14559" max="14559" width="5" style="1057" customWidth="1"/>
    <col min="14560" max="14560" width="34.42578125" style="1057" customWidth="1"/>
    <col min="14561" max="14561" width="10.7109375" style="1057" customWidth="1"/>
    <col min="14562" max="14562" width="9.28515625" style="1057" customWidth="1"/>
    <col min="14563" max="14563" width="10.42578125" style="1057" customWidth="1"/>
    <col min="14564" max="14569" width="9.28515625" style="1057" customWidth="1"/>
    <col min="14570" max="14570" width="8.28515625" style="1057" customWidth="1"/>
    <col min="14571" max="14578" width="9.28515625" style="1057" customWidth="1"/>
    <col min="14579" max="14772" width="9.85546875" style="1057" customWidth="1"/>
    <col min="14773" max="14814" width="9" style="1057"/>
    <col min="14815" max="14815" width="5" style="1057" customWidth="1"/>
    <col min="14816" max="14816" width="34.42578125" style="1057" customWidth="1"/>
    <col min="14817" max="14817" width="10.7109375" style="1057" customWidth="1"/>
    <col min="14818" max="14818" width="9.28515625" style="1057" customWidth="1"/>
    <col min="14819" max="14819" width="10.42578125" style="1057" customWidth="1"/>
    <col min="14820" max="14825" width="9.28515625" style="1057" customWidth="1"/>
    <col min="14826" max="14826" width="8.28515625" style="1057" customWidth="1"/>
    <col min="14827" max="14834" width="9.28515625" style="1057" customWidth="1"/>
    <col min="14835" max="15028" width="9.85546875" style="1057" customWidth="1"/>
    <col min="15029" max="15070" width="9" style="1057"/>
    <col min="15071" max="15071" width="5" style="1057" customWidth="1"/>
    <col min="15072" max="15072" width="34.42578125" style="1057" customWidth="1"/>
    <col min="15073" max="15073" width="10.7109375" style="1057" customWidth="1"/>
    <col min="15074" max="15074" width="9.28515625" style="1057" customWidth="1"/>
    <col min="15075" max="15075" width="10.42578125" style="1057" customWidth="1"/>
    <col min="15076" max="15081" width="9.28515625" style="1057" customWidth="1"/>
    <col min="15082" max="15082" width="8.28515625" style="1057" customWidth="1"/>
    <col min="15083" max="15090" width="9.28515625" style="1057" customWidth="1"/>
    <col min="15091" max="15284" width="9.85546875" style="1057" customWidth="1"/>
    <col min="15285" max="15326" width="9" style="1057"/>
    <col min="15327" max="15327" width="5" style="1057" customWidth="1"/>
    <col min="15328" max="15328" width="34.42578125" style="1057" customWidth="1"/>
    <col min="15329" max="15329" width="10.7109375" style="1057" customWidth="1"/>
    <col min="15330" max="15330" width="9.28515625" style="1057" customWidth="1"/>
    <col min="15331" max="15331" width="10.42578125" style="1057" customWidth="1"/>
    <col min="15332" max="15337" width="9.28515625" style="1057" customWidth="1"/>
    <col min="15338" max="15338" width="8.28515625" style="1057" customWidth="1"/>
    <col min="15339" max="15346" width="9.28515625" style="1057" customWidth="1"/>
    <col min="15347" max="15540" width="9.85546875" style="1057" customWidth="1"/>
    <col min="15541" max="15582" width="9" style="1057"/>
    <col min="15583" max="15583" width="5" style="1057" customWidth="1"/>
    <col min="15584" max="15584" width="34.42578125" style="1057" customWidth="1"/>
    <col min="15585" max="15585" width="10.7109375" style="1057" customWidth="1"/>
    <col min="15586" max="15586" width="9.28515625" style="1057" customWidth="1"/>
    <col min="15587" max="15587" width="10.42578125" style="1057" customWidth="1"/>
    <col min="15588" max="15593" width="9.28515625" style="1057" customWidth="1"/>
    <col min="15594" max="15594" width="8.28515625" style="1057" customWidth="1"/>
    <col min="15595" max="15602" width="9.28515625" style="1057" customWidth="1"/>
    <col min="15603" max="15796" width="9.85546875" style="1057" customWidth="1"/>
    <col min="15797" max="15838" width="9" style="1057"/>
    <col min="15839" max="15839" width="5" style="1057" customWidth="1"/>
    <col min="15840" max="15840" width="34.42578125" style="1057" customWidth="1"/>
    <col min="15841" max="15841" width="10.7109375" style="1057" customWidth="1"/>
    <col min="15842" max="15842" width="9.28515625" style="1057" customWidth="1"/>
    <col min="15843" max="15843" width="10.42578125" style="1057" customWidth="1"/>
    <col min="15844" max="15849" width="9.28515625" style="1057" customWidth="1"/>
    <col min="15850" max="15850" width="8.28515625" style="1057" customWidth="1"/>
    <col min="15851" max="15858" width="9.28515625" style="1057" customWidth="1"/>
    <col min="15859" max="16384" width="9.85546875" style="1057" customWidth="1"/>
  </cols>
  <sheetData>
    <row r="2" spans="1:25">
      <c r="B2" s="1960" t="s">
        <v>313</v>
      </c>
      <c r="C2" s="1960"/>
      <c r="D2" s="1960"/>
      <c r="E2" s="1961"/>
      <c r="F2" s="1960"/>
      <c r="G2" s="1960"/>
      <c r="H2" s="1960"/>
      <c r="I2" s="1960"/>
      <c r="J2" s="1960"/>
      <c r="K2" s="1960"/>
      <c r="L2" s="1960"/>
      <c r="M2" s="1960"/>
      <c r="N2" s="1960"/>
      <c r="O2" s="1960"/>
      <c r="P2" s="1960"/>
      <c r="Q2" s="1960"/>
      <c r="R2" s="1960"/>
      <c r="S2" s="1960"/>
      <c r="T2" s="1960"/>
      <c r="U2" s="1960"/>
      <c r="V2" s="1960"/>
      <c r="W2" s="1960"/>
      <c r="X2" s="1960"/>
      <c r="Y2" s="1960"/>
    </row>
    <row r="3" spans="1:25">
      <c r="V3" s="1962" t="s">
        <v>228</v>
      </c>
      <c r="W3" s="1962"/>
      <c r="X3" s="1962"/>
      <c r="Y3" s="1962"/>
    </row>
    <row r="4" spans="1:25">
      <c r="B4" s="1964" t="s">
        <v>309</v>
      </c>
      <c r="C4" s="1964" t="s">
        <v>847</v>
      </c>
      <c r="D4" s="1416"/>
      <c r="E4" s="1967" t="s">
        <v>751</v>
      </c>
      <c r="F4" s="1969" t="s">
        <v>308</v>
      </c>
      <c r="G4" s="1972" t="s">
        <v>754</v>
      </c>
      <c r="H4" s="1973"/>
      <c r="I4" s="1973"/>
      <c r="J4" s="1973"/>
      <c r="K4" s="1973"/>
      <c r="L4" s="1974"/>
      <c r="M4" s="1972" t="s">
        <v>826</v>
      </c>
      <c r="N4" s="1973"/>
      <c r="O4" s="1973"/>
      <c r="P4" s="1973"/>
      <c r="Q4" s="1973"/>
      <c r="R4" s="1973"/>
      <c r="S4" s="1973"/>
      <c r="T4" s="1973"/>
      <c r="U4" s="1973"/>
      <c r="V4" s="1973"/>
      <c r="W4" s="1973"/>
      <c r="X4" s="1973"/>
      <c r="Y4" s="1974"/>
    </row>
    <row r="5" spans="1:25">
      <c r="B5" s="1964"/>
      <c r="C5" s="1964"/>
      <c r="D5" s="1416"/>
      <c r="E5" s="1967"/>
      <c r="F5" s="1970"/>
      <c r="G5" s="1975"/>
      <c r="H5" s="1976"/>
      <c r="I5" s="1976"/>
      <c r="J5" s="1976"/>
      <c r="K5" s="1976"/>
      <c r="L5" s="1977"/>
      <c r="M5" s="1975"/>
      <c r="N5" s="1976"/>
      <c r="O5" s="1976"/>
      <c r="P5" s="1976"/>
      <c r="Q5" s="1976"/>
      <c r="R5" s="1976"/>
      <c r="S5" s="1976"/>
      <c r="T5" s="1976"/>
      <c r="U5" s="1976"/>
      <c r="V5" s="1976"/>
      <c r="W5" s="1976"/>
      <c r="X5" s="1976"/>
      <c r="Y5" s="1977"/>
    </row>
    <row r="6" spans="1:25" s="1058" customFormat="1" ht="48">
      <c r="B6" s="1965"/>
      <c r="C6" s="1965"/>
      <c r="D6" s="1417"/>
      <c r="E6" s="1968"/>
      <c r="F6" s="1970"/>
      <c r="G6" s="1061" t="s">
        <v>5</v>
      </c>
      <c r="H6" s="1061" t="s">
        <v>821</v>
      </c>
      <c r="I6" s="1062" t="s">
        <v>822</v>
      </c>
      <c r="J6" s="1062" t="s">
        <v>823</v>
      </c>
      <c r="K6" s="1063" t="s">
        <v>824</v>
      </c>
      <c r="L6" s="1064" t="s">
        <v>825</v>
      </c>
      <c r="M6" s="1065" t="s">
        <v>5</v>
      </c>
      <c r="N6" s="1314" t="s">
        <v>727</v>
      </c>
      <c r="O6" s="1315" t="s">
        <v>728</v>
      </c>
      <c r="P6" s="1315" t="s">
        <v>729</v>
      </c>
      <c r="Q6" s="1315" t="s">
        <v>730</v>
      </c>
      <c r="R6" s="1315" t="s">
        <v>731</v>
      </c>
      <c r="S6" s="1315" t="s">
        <v>732</v>
      </c>
      <c r="T6" s="1315" t="s">
        <v>733</v>
      </c>
      <c r="U6" s="1315" t="s">
        <v>734</v>
      </c>
      <c r="V6" s="1315" t="s">
        <v>735</v>
      </c>
      <c r="W6" s="1315" t="s">
        <v>736</v>
      </c>
      <c r="X6" s="1315" t="s">
        <v>737</v>
      </c>
      <c r="Y6" s="1315" t="s">
        <v>738</v>
      </c>
    </row>
    <row r="7" spans="1:25" s="1066" customFormat="1">
      <c r="B7" s="1067"/>
      <c r="C7" s="1067"/>
      <c r="D7" s="1067"/>
      <c r="E7" s="1284"/>
      <c r="F7" s="1971"/>
      <c r="G7" s="1068"/>
      <c r="H7" s="1068">
        <v>1</v>
      </c>
      <c r="I7" s="1069">
        <v>2</v>
      </c>
      <c r="J7" s="1069">
        <v>3</v>
      </c>
      <c r="K7" s="1069">
        <v>4</v>
      </c>
      <c r="L7" s="1069">
        <v>5</v>
      </c>
      <c r="M7" s="1070"/>
      <c r="N7" s="1071">
        <v>1</v>
      </c>
      <c r="O7" s="1072">
        <v>2</v>
      </c>
      <c r="P7" s="1071">
        <v>3</v>
      </c>
      <c r="Q7" s="1072">
        <v>4</v>
      </c>
      <c r="R7" s="1071">
        <v>5</v>
      </c>
      <c r="S7" s="1072">
        <v>6</v>
      </c>
      <c r="T7" s="1071">
        <v>7</v>
      </c>
      <c r="U7" s="1072">
        <v>8</v>
      </c>
      <c r="V7" s="1071">
        <v>9</v>
      </c>
      <c r="W7" s="1072">
        <v>10</v>
      </c>
      <c r="X7" s="1071">
        <v>11</v>
      </c>
      <c r="Y7" s="1072">
        <v>12</v>
      </c>
    </row>
    <row r="8" spans="1:25" s="1073" customFormat="1" ht="11.25">
      <c r="B8" s="1074"/>
      <c r="C8" s="1074"/>
      <c r="D8" s="1430"/>
      <c r="E8" s="1285" t="s">
        <v>244</v>
      </c>
      <c r="F8" s="1231">
        <f>G8+M8</f>
        <v>67256761.24000001</v>
      </c>
      <c r="G8" s="1231">
        <f>SUM(H8:L8)</f>
        <v>21148356</v>
      </c>
      <c r="H8" s="1231">
        <f>H9+H51+H148+H212+H232+H263+H313+H325+H353+H379+H405+H428+H440+H442+H446+H458+H465+H476+H487+H513</f>
        <v>10775355</v>
      </c>
      <c r="I8" s="1231">
        <f t="shared" ref="I8:M8" si="0">I9+I51+I148+I212+I232+I263+I313+I325+I353+I379+I405+I428+I440+I442+I446+I458+I465+I476+I487+I513</f>
        <v>2665000</v>
      </c>
      <c r="J8" s="1231">
        <f t="shared" si="0"/>
        <v>6895702</v>
      </c>
      <c r="K8" s="1231">
        <f t="shared" si="0"/>
        <v>438200</v>
      </c>
      <c r="L8" s="1231">
        <f t="shared" si="0"/>
        <v>374099</v>
      </c>
      <c r="M8" s="1231">
        <f t="shared" si="0"/>
        <v>46108405.240000002</v>
      </c>
      <c r="N8" s="1231">
        <f t="shared" ref="N8" si="1">N9+N51+N148+N212+N232+N263+N313+N325+N353+N379+N405+N428+N440+N442+N446+N458+N465+N476+N487+N513</f>
        <v>9081498</v>
      </c>
      <c r="O8" s="1231">
        <f t="shared" ref="O8" si="2">O9+O51+O148+O212+O232+O263+O313+O325+O353+O379+O405+O428+O440+O442+O446+O458+O465+O476+O487+O513</f>
        <v>1852723.2039999999</v>
      </c>
      <c r="P8" s="1231">
        <f t="shared" ref="P8" si="3">P9+P51+P148+P212+P232+P263+P313+P325+P353+P379+P405+P428+P440+P442+P446+P458+P465+P476+P487+P513</f>
        <v>2997878</v>
      </c>
      <c r="Q8" s="1231">
        <f t="shared" ref="Q8:R8" si="4">Q9+Q51+Q148+Q212+Q232+Q263+Q313+Q325+Q353+Q379+Q405+Q428+Q440+Q442+Q446+Q458+Q465+Q476+Q487+Q513</f>
        <v>4152518</v>
      </c>
      <c r="R8" s="1231">
        <f t="shared" si="4"/>
        <v>4609641</v>
      </c>
      <c r="S8" s="1231">
        <f t="shared" ref="S8" si="5">S9+S51+S148+S212+S232+S263+S313+S325+S353+S379+S405+S428+S440+S442+S446+S458+S465+S476+S487+S513</f>
        <v>2690647.35</v>
      </c>
      <c r="T8" s="1231">
        <f t="shared" ref="T8" si="6">T9+T51+T148+T212+T232+T263+T313+T325+T353+T379+T405+T428+T440+T442+T446+T458+T465+T476+T487+T513</f>
        <v>4000728.3459999999</v>
      </c>
      <c r="U8" s="1231">
        <f t="shared" ref="U8" si="7">U9+U51+U148+U212+U232+U263+U313+U325+U353+U379+U405+U428+U440+U442+U446+U458+U465+U476+U487+U513</f>
        <v>3083488.3</v>
      </c>
      <c r="V8" s="1231">
        <f t="shared" ref="V8:W8" si="8">V9+V51+V148+V212+V232+V263+V313+V325+V353+V379+V405+V428+V440+V442+V446+V458+V465+V476+V487+V513</f>
        <v>4474117.04</v>
      </c>
      <c r="W8" s="1231">
        <f t="shared" si="8"/>
        <v>2908957</v>
      </c>
      <c r="X8" s="1231">
        <f t="shared" ref="X8" si="9">X9+X51+X148+X212+X232+X263+X313+X325+X353+X379+X405+X428+X440+X442+X446+X458+X465+X476+X487+X513</f>
        <v>1893128</v>
      </c>
      <c r="Y8" s="1231">
        <f t="shared" ref="Y8" si="10">Y9+Y51+Y148+Y212+Y232+Y263+Y313+Y325+Y353+Y379+Y405+Y428+Y440+Y442+Y446+Y458+Y465+Y476+Y487+Y513</f>
        <v>4363081</v>
      </c>
    </row>
    <row r="9" spans="1:25" s="1075" customFormat="1" ht="60">
      <c r="A9" s="1075">
        <v>1</v>
      </c>
      <c r="B9" s="1076">
        <v>1</v>
      </c>
      <c r="C9" s="1077" t="s">
        <v>34</v>
      </c>
      <c r="D9" s="1303"/>
      <c r="E9" s="1286" t="s">
        <v>243</v>
      </c>
      <c r="F9" s="1232">
        <f t="shared" ref="F9:F71" si="11">G9+M9</f>
        <v>11052476.449999999</v>
      </c>
      <c r="G9" s="1232">
        <f t="shared" ref="G9:G71" si="12">SUM(H9:L9)</f>
        <v>763250</v>
      </c>
      <c r="H9" s="1233">
        <f>H10+H22+H34+H46</f>
        <v>763250</v>
      </c>
      <c r="I9" s="1233">
        <f t="shared" ref="I9:L9" si="13">I10+I22+I34+I46</f>
        <v>0</v>
      </c>
      <c r="J9" s="1233">
        <f t="shared" si="13"/>
        <v>0</v>
      </c>
      <c r="K9" s="1233">
        <f t="shared" si="13"/>
        <v>0</v>
      </c>
      <c r="L9" s="1233">
        <f t="shared" si="13"/>
        <v>0</v>
      </c>
      <c r="M9" s="1232">
        <f t="shared" ref="M9:M71" si="14">SUM(N9:Y9)</f>
        <v>10289226.449999999</v>
      </c>
      <c r="N9" s="1233">
        <f t="shared" ref="N9:Y9" si="15">N10+N22+N34+N46</f>
        <v>3344425</v>
      </c>
      <c r="O9" s="1233">
        <f t="shared" si="15"/>
        <v>188250</v>
      </c>
      <c r="P9" s="1233">
        <f t="shared" si="15"/>
        <v>797850</v>
      </c>
      <c r="Q9" s="1233">
        <f t="shared" si="15"/>
        <v>696784</v>
      </c>
      <c r="R9" s="1233">
        <f t="shared" si="15"/>
        <v>1204746</v>
      </c>
      <c r="S9" s="1233">
        <f t="shared" si="15"/>
        <v>623033.15</v>
      </c>
      <c r="T9" s="1233">
        <f t="shared" si="15"/>
        <v>735064</v>
      </c>
      <c r="U9" s="1233">
        <f t="shared" si="15"/>
        <v>523714.3</v>
      </c>
      <c r="V9" s="1233">
        <f t="shared" si="15"/>
        <v>454600</v>
      </c>
      <c r="W9" s="1233">
        <f t="shared" si="15"/>
        <v>1171760</v>
      </c>
      <c r="X9" s="1233">
        <f t="shared" si="15"/>
        <v>49600</v>
      </c>
      <c r="Y9" s="1233">
        <f t="shared" si="15"/>
        <v>499400</v>
      </c>
    </row>
    <row r="10" spans="1:25" s="1078" customFormat="1" ht="36">
      <c r="A10" s="1078" t="s">
        <v>806</v>
      </c>
      <c r="B10" s="1079" t="s">
        <v>578</v>
      </c>
      <c r="C10" s="1080" t="s">
        <v>34</v>
      </c>
      <c r="D10" s="1431"/>
      <c r="E10" s="1081" t="s">
        <v>827</v>
      </c>
      <c r="F10" s="1235">
        <f t="shared" si="11"/>
        <v>1044980</v>
      </c>
      <c r="G10" s="1235">
        <f t="shared" si="12"/>
        <v>86000</v>
      </c>
      <c r="H10" s="1236">
        <f>SUM(H11:H21)</f>
        <v>86000</v>
      </c>
      <c r="I10" s="1237">
        <f>SUM(I11:I21)</f>
        <v>0</v>
      </c>
      <c r="J10" s="1237">
        <f>SUM(J11:J21)</f>
        <v>0</v>
      </c>
      <c r="K10" s="1237">
        <f>SUM(K11:K21)</f>
        <v>0</v>
      </c>
      <c r="L10" s="1237">
        <f>SUM(L11:L21)</f>
        <v>0</v>
      </c>
      <c r="M10" s="1235">
        <f t="shared" si="14"/>
        <v>958980</v>
      </c>
      <c r="N10" s="1236">
        <f t="shared" ref="N10:Y10" si="16">SUM(N11:N21)</f>
        <v>66402</v>
      </c>
      <c r="O10" s="1236">
        <f t="shared" si="16"/>
        <v>38000</v>
      </c>
      <c r="P10" s="1236">
        <f t="shared" si="16"/>
        <v>37250</v>
      </c>
      <c r="Q10" s="1236">
        <f t="shared" si="16"/>
        <v>291080</v>
      </c>
      <c r="R10" s="1236">
        <f t="shared" si="16"/>
        <v>52500</v>
      </c>
      <c r="S10" s="1236">
        <f t="shared" si="16"/>
        <v>49700</v>
      </c>
      <c r="T10" s="1236">
        <f t="shared" si="16"/>
        <v>126580</v>
      </c>
      <c r="U10" s="1236">
        <f t="shared" si="16"/>
        <v>50308</v>
      </c>
      <c r="V10" s="1236">
        <f t="shared" si="16"/>
        <v>40800</v>
      </c>
      <c r="W10" s="1236">
        <f t="shared" si="16"/>
        <v>45960</v>
      </c>
      <c r="X10" s="1236">
        <f t="shared" si="16"/>
        <v>49600</v>
      </c>
      <c r="Y10" s="1236">
        <f t="shared" si="16"/>
        <v>110800</v>
      </c>
    </row>
    <row r="11" spans="1:25" s="1082" customFormat="1" ht="36">
      <c r="B11" s="1083"/>
      <c r="C11" s="1084" t="s">
        <v>34</v>
      </c>
      <c r="D11" s="1203">
        <v>1</v>
      </c>
      <c r="E11" s="1085" t="s">
        <v>617</v>
      </c>
      <c r="F11" s="1232"/>
      <c r="G11" s="1232"/>
      <c r="H11" s="1238"/>
      <c r="I11" s="1239"/>
      <c r="J11" s="1239"/>
      <c r="K11" s="1239"/>
      <c r="L11" s="1239"/>
      <c r="M11" s="1232"/>
      <c r="N11" s="1238"/>
      <c r="O11" s="1238"/>
      <c r="P11" s="1238"/>
      <c r="Q11" s="1238"/>
      <c r="R11" s="1238"/>
      <c r="S11" s="1238"/>
      <c r="T11" s="1238"/>
      <c r="U11" s="1238"/>
      <c r="V11" s="1238"/>
      <c r="W11" s="1238"/>
      <c r="X11" s="1238"/>
      <c r="Y11" s="1238"/>
    </row>
    <row r="12" spans="1:25" s="1082" customFormat="1" ht="36">
      <c r="B12" s="1083"/>
      <c r="C12" s="1084" t="s">
        <v>34</v>
      </c>
      <c r="D12" s="1203">
        <v>2</v>
      </c>
      <c r="E12" s="1086" t="s">
        <v>634</v>
      </c>
      <c r="F12" s="1232"/>
      <c r="G12" s="1232"/>
      <c r="H12" s="1240"/>
      <c r="I12" s="1241"/>
      <c r="J12" s="1241"/>
      <c r="K12" s="1241"/>
      <c r="L12" s="1241"/>
      <c r="M12" s="1232"/>
      <c r="N12" s="1240"/>
      <c r="O12" s="1240"/>
      <c r="P12" s="1240"/>
      <c r="Q12" s="1240"/>
      <c r="R12" s="1240"/>
      <c r="S12" s="1240"/>
      <c r="T12" s="1240"/>
      <c r="U12" s="1240"/>
      <c r="V12" s="1240"/>
      <c r="W12" s="1240"/>
      <c r="X12" s="1240"/>
      <c r="Y12" s="1240"/>
    </row>
    <row r="13" spans="1:25" s="1082" customFormat="1" ht="60">
      <c r="B13" s="1083"/>
      <c r="C13" s="1084" t="s">
        <v>34</v>
      </c>
      <c r="D13" s="1203">
        <v>3</v>
      </c>
      <c r="E13" s="1087" t="s">
        <v>306</v>
      </c>
      <c r="F13" s="1232">
        <f t="shared" si="11"/>
        <v>262348</v>
      </c>
      <c r="G13" s="1232">
        <f t="shared" si="12"/>
        <v>24000</v>
      </c>
      <c r="H13" s="1240">
        <v>24000</v>
      </c>
      <c r="I13" s="1241"/>
      <c r="J13" s="1241"/>
      <c r="K13" s="1241"/>
      <c r="L13" s="1241"/>
      <c r="M13" s="1232">
        <f t="shared" si="14"/>
        <v>238348</v>
      </c>
      <c r="N13" s="1240">
        <v>45600</v>
      </c>
      <c r="O13" s="1240">
        <v>20000</v>
      </c>
      <c r="P13" s="1240">
        <v>3520</v>
      </c>
      <c r="Q13" s="1240">
        <v>44400</v>
      </c>
      <c r="R13" s="1240">
        <v>2500</v>
      </c>
      <c r="S13" s="1240">
        <v>1500</v>
      </c>
      <c r="T13" s="1240">
        <v>8200</v>
      </c>
      <c r="U13" s="1240">
        <v>33648</v>
      </c>
      <c r="V13" s="1240">
        <v>25800</v>
      </c>
      <c r="W13" s="1240">
        <v>5960</v>
      </c>
      <c r="X13" s="1240">
        <v>9600</v>
      </c>
      <c r="Y13" s="1240">
        <v>37620</v>
      </c>
    </row>
    <row r="14" spans="1:25" s="1082" customFormat="1" ht="24">
      <c r="B14" s="1083"/>
      <c r="C14" s="1084" t="s">
        <v>34</v>
      </c>
      <c r="D14" s="1203">
        <v>4</v>
      </c>
      <c r="E14" s="1087" t="s">
        <v>187</v>
      </c>
      <c r="F14" s="1232">
        <f t="shared" si="11"/>
        <v>42970</v>
      </c>
      <c r="G14" s="1232">
        <f t="shared" si="12"/>
        <v>0</v>
      </c>
      <c r="H14" s="1240"/>
      <c r="I14" s="1241"/>
      <c r="J14" s="1241"/>
      <c r="K14" s="1241"/>
      <c r="L14" s="1241"/>
      <c r="M14" s="1232">
        <f t="shared" si="14"/>
        <v>42970</v>
      </c>
      <c r="N14" s="1240">
        <v>500</v>
      </c>
      <c r="O14" s="1240"/>
      <c r="P14" s="1240">
        <v>330</v>
      </c>
      <c r="Q14" s="1240">
        <v>1680</v>
      </c>
      <c r="R14" s="1240">
        <v>2000</v>
      </c>
      <c r="S14" s="1240">
        <v>2000</v>
      </c>
      <c r="T14" s="1240">
        <v>9800</v>
      </c>
      <c r="U14" s="1240">
        <v>660</v>
      </c>
      <c r="V14" s="1240">
        <v>15000</v>
      </c>
      <c r="W14" s="1240">
        <v>3000</v>
      </c>
      <c r="X14" s="1240">
        <v>4000</v>
      </c>
      <c r="Y14" s="1240">
        <v>4000</v>
      </c>
    </row>
    <row r="15" spans="1:25" s="1082" customFormat="1" ht="24">
      <c r="B15" s="1083"/>
      <c r="C15" s="1084" t="s">
        <v>34</v>
      </c>
      <c r="D15" s="1203">
        <v>5</v>
      </c>
      <c r="E15" s="1087" t="s">
        <v>188</v>
      </c>
      <c r="F15" s="1232">
        <f t="shared" si="11"/>
        <v>89202</v>
      </c>
      <c r="G15" s="1232">
        <f t="shared" si="12"/>
        <v>12000</v>
      </c>
      <c r="H15" s="1240">
        <v>12000</v>
      </c>
      <c r="I15" s="1241"/>
      <c r="J15" s="1241"/>
      <c r="K15" s="1241"/>
      <c r="L15" s="1241"/>
      <c r="M15" s="1232">
        <f t="shared" si="14"/>
        <v>77202</v>
      </c>
      <c r="N15" s="1240">
        <v>702</v>
      </c>
      <c r="O15" s="1240">
        <v>10000</v>
      </c>
      <c r="P15" s="1240">
        <v>10000</v>
      </c>
      <c r="Q15" s="1240">
        <v>30000</v>
      </c>
      <c r="R15" s="1240">
        <v>3000</v>
      </c>
      <c r="S15" s="1240"/>
      <c r="T15" s="1240">
        <v>2500</v>
      </c>
      <c r="U15" s="1240"/>
      <c r="V15" s="1240"/>
      <c r="W15" s="1240">
        <v>5000</v>
      </c>
      <c r="X15" s="1240"/>
      <c r="Y15" s="1240">
        <v>16000</v>
      </c>
    </row>
    <row r="16" spans="1:25" s="1082" customFormat="1" ht="36">
      <c r="B16" s="1083"/>
      <c r="C16" s="1084" t="s">
        <v>34</v>
      </c>
      <c r="D16" s="1203">
        <v>6</v>
      </c>
      <c r="E16" s="1163" t="s">
        <v>207</v>
      </c>
      <c r="F16" s="1232">
        <f t="shared" si="11"/>
        <v>54000</v>
      </c>
      <c r="G16" s="1232">
        <f t="shared" si="12"/>
        <v>0</v>
      </c>
      <c r="H16" s="1242"/>
      <c r="I16" s="1243"/>
      <c r="J16" s="1243"/>
      <c r="K16" s="1243"/>
      <c r="L16" s="1243"/>
      <c r="M16" s="1232">
        <f t="shared" si="14"/>
        <v>54000</v>
      </c>
      <c r="N16" s="1240"/>
      <c r="O16" s="1244"/>
      <c r="P16" s="1244">
        <v>5000</v>
      </c>
      <c r="Q16" s="1244">
        <v>10000</v>
      </c>
      <c r="R16" s="1244"/>
      <c r="S16" s="1244">
        <v>9000</v>
      </c>
      <c r="T16" s="1240">
        <v>20000</v>
      </c>
      <c r="U16" s="1244">
        <v>10000</v>
      </c>
      <c r="V16" s="1244"/>
      <c r="W16" s="1244"/>
      <c r="X16" s="1244"/>
      <c r="Y16" s="1240"/>
    </row>
    <row r="17" spans="1:25" s="1082" customFormat="1">
      <c r="B17" s="1083"/>
      <c r="C17" s="1084" t="s">
        <v>34</v>
      </c>
      <c r="D17" s="1203">
        <v>7</v>
      </c>
      <c r="E17" s="1087" t="s">
        <v>189</v>
      </c>
      <c r="F17" s="1232">
        <f t="shared" si="11"/>
        <v>332680</v>
      </c>
      <c r="G17" s="1232">
        <f t="shared" si="12"/>
        <v>0</v>
      </c>
      <c r="H17" s="1240"/>
      <c r="I17" s="1241"/>
      <c r="J17" s="1241"/>
      <c r="K17" s="1241"/>
      <c r="L17" s="1241"/>
      <c r="M17" s="1232">
        <f t="shared" si="14"/>
        <v>332680</v>
      </c>
      <c r="N17" s="1240"/>
      <c r="O17" s="1240">
        <v>4500</v>
      </c>
      <c r="P17" s="1240">
        <v>8400</v>
      </c>
      <c r="Q17" s="1240">
        <v>105000</v>
      </c>
      <c r="R17" s="1240"/>
      <c r="S17" s="1240">
        <v>30000</v>
      </c>
      <c r="T17" s="1240">
        <v>83580</v>
      </c>
      <c r="U17" s="1240"/>
      <c r="V17" s="1240"/>
      <c r="W17" s="1240">
        <v>22000</v>
      </c>
      <c r="X17" s="1240">
        <v>36000</v>
      </c>
      <c r="Y17" s="1240">
        <v>43200</v>
      </c>
    </row>
    <row r="18" spans="1:25" s="1082" customFormat="1" ht="24">
      <c r="B18" s="1083"/>
      <c r="C18" s="1084" t="s">
        <v>34</v>
      </c>
      <c r="D18" s="1203">
        <v>8</v>
      </c>
      <c r="E18" s="1087" t="s">
        <v>216</v>
      </c>
      <c r="F18" s="1232">
        <f t="shared" si="11"/>
        <v>191300</v>
      </c>
      <c r="G18" s="1232">
        <f t="shared" si="12"/>
        <v>0</v>
      </c>
      <c r="H18" s="1240"/>
      <c r="I18" s="1241"/>
      <c r="J18" s="1241"/>
      <c r="K18" s="1241"/>
      <c r="L18" s="1241"/>
      <c r="M18" s="1232">
        <f t="shared" si="14"/>
        <v>191300</v>
      </c>
      <c r="N18" s="1240">
        <v>19600</v>
      </c>
      <c r="O18" s="1240">
        <v>3500</v>
      </c>
      <c r="P18" s="1240">
        <v>10000</v>
      </c>
      <c r="Q18" s="1240">
        <v>100000</v>
      </c>
      <c r="R18" s="1240">
        <v>45000</v>
      </c>
      <c r="S18" s="1240">
        <v>7200</v>
      </c>
      <c r="T18" s="1240"/>
      <c r="U18" s="1240">
        <v>6000</v>
      </c>
      <c r="V18" s="1240"/>
      <c r="W18" s="1240"/>
      <c r="X18" s="1240"/>
      <c r="Y18" s="1240"/>
    </row>
    <row r="19" spans="1:25" s="1088" customFormat="1" ht="36">
      <c r="B19" s="1083"/>
      <c r="C19" s="1084" t="s">
        <v>34</v>
      </c>
      <c r="D19" s="1203">
        <v>9</v>
      </c>
      <c r="E19" s="1086" t="s">
        <v>635</v>
      </c>
      <c r="F19" s="1232"/>
      <c r="G19" s="1232"/>
      <c r="H19" s="1240"/>
      <c r="I19" s="1241"/>
      <c r="J19" s="1241"/>
      <c r="K19" s="1241"/>
      <c r="L19" s="1241"/>
      <c r="M19" s="1232"/>
      <c r="N19" s="1240"/>
      <c r="O19" s="1240"/>
      <c r="P19" s="1240"/>
      <c r="Q19" s="1240"/>
      <c r="R19" s="1240"/>
      <c r="S19" s="1240"/>
      <c r="T19" s="1240"/>
      <c r="U19" s="1240"/>
      <c r="V19" s="1240"/>
      <c r="W19" s="1240"/>
      <c r="X19" s="1240"/>
      <c r="Y19" s="1240"/>
    </row>
    <row r="20" spans="1:25" ht="48">
      <c r="B20" s="1083"/>
      <c r="C20" s="1084" t="s">
        <v>34</v>
      </c>
      <c r="D20" s="1203">
        <v>10</v>
      </c>
      <c r="E20" s="1087" t="s">
        <v>636</v>
      </c>
      <c r="F20" s="1232"/>
      <c r="G20" s="1232"/>
      <c r="H20" s="1240"/>
      <c r="I20" s="1241"/>
      <c r="J20" s="1241"/>
      <c r="K20" s="1241"/>
      <c r="L20" s="1241"/>
      <c r="M20" s="1232"/>
      <c r="N20" s="1240"/>
      <c r="O20" s="1240"/>
      <c r="P20" s="1240"/>
      <c r="Q20" s="1240"/>
      <c r="R20" s="1240"/>
      <c r="S20" s="1240"/>
      <c r="T20" s="1240"/>
      <c r="U20" s="1240"/>
      <c r="V20" s="1240"/>
      <c r="W20" s="1240"/>
      <c r="X20" s="1240"/>
      <c r="Y20" s="1240"/>
    </row>
    <row r="21" spans="1:25" ht="36">
      <c r="B21" s="1083"/>
      <c r="C21" s="1084" t="s">
        <v>34</v>
      </c>
      <c r="D21" s="1203">
        <v>11</v>
      </c>
      <c r="E21" s="1087" t="s">
        <v>509</v>
      </c>
      <c r="F21" s="1232">
        <f t="shared" si="11"/>
        <v>72480</v>
      </c>
      <c r="G21" s="1232">
        <f t="shared" si="12"/>
        <v>50000</v>
      </c>
      <c r="H21" s="1240">
        <v>50000</v>
      </c>
      <c r="I21" s="1241"/>
      <c r="J21" s="1241"/>
      <c r="K21" s="1241"/>
      <c r="L21" s="1241"/>
      <c r="M21" s="1232">
        <f t="shared" si="14"/>
        <v>22480</v>
      </c>
      <c r="N21" s="1240"/>
      <c r="O21" s="1240"/>
      <c r="P21" s="1240"/>
      <c r="Q21" s="1240"/>
      <c r="R21" s="1240"/>
      <c r="S21" s="1240"/>
      <c r="T21" s="1240">
        <v>2500</v>
      </c>
      <c r="U21" s="1240"/>
      <c r="V21" s="1240"/>
      <c r="W21" s="1240">
        <v>10000</v>
      </c>
      <c r="X21" s="1240"/>
      <c r="Y21" s="1240">
        <v>9980</v>
      </c>
    </row>
    <row r="22" spans="1:25" s="1078" customFormat="1" ht="24">
      <c r="A22" s="1078" t="s">
        <v>807</v>
      </c>
      <c r="B22" s="1079" t="s">
        <v>579</v>
      </c>
      <c r="C22" s="1080" t="s">
        <v>34</v>
      </c>
      <c r="D22" s="1431"/>
      <c r="E22" s="1081" t="s">
        <v>511</v>
      </c>
      <c r="F22" s="1235">
        <f t="shared" si="11"/>
        <v>9799770.4499999993</v>
      </c>
      <c r="G22" s="1235">
        <f t="shared" si="12"/>
        <v>638850</v>
      </c>
      <c r="H22" s="1236">
        <f>SUM(H23:H33)</f>
        <v>638850</v>
      </c>
      <c r="I22" s="1237">
        <f t="shared" ref="I22:Y22" si="17">SUM(I23:I33)</f>
        <v>0</v>
      </c>
      <c r="J22" s="1237">
        <f t="shared" si="17"/>
        <v>0</v>
      </c>
      <c r="K22" s="1237">
        <f t="shared" si="17"/>
        <v>0</v>
      </c>
      <c r="L22" s="1237">
        <f t="shared" si="17"/>
        <v>0</v>
      </c>
      <c r="M22" s="1235">
        <f t="shared" si="14"/>
        <v>9160920.4499999993</v>
      </c>
      <c r="N22" s="1236">
        <f t="shared" si="17"/>
        <v>3273523</v>
      </c>
      <c r="O22" s="1236">
        <f t="shared" si="17"/>
        <v>137750</v>
      </c>
      <c r="P22" s="1236">
        <f t="shared" si="17"/>
        <v>754800</v>
      </c>
      <c r="Q22" s="1236">
        <f t="shared" si="17"/>
        <v>405704</v>
      </c>
      <c r="R22" s="1236">
        <f t="shared" si="17"/>
        <v>1005720</v>
      </c>
      <c r="S22" s="1236">
        <f t="shared" si="17"/>
        <v>573333.15</v>
      </c>
      <c r="T22" s="1236">
        <f t="shared" si="17"/>
        <v>608484</v>
      </c>
      <c r="U22" s="1236">
        <f t="shared" si="17"/>
        <v>473406.3</v>
      </c>
      <c r="V22" s="1236">
        <f t="shared" si="17"/>
        <v>413800</v>
      </c>
      <c r="W22" s="1236">
        <f t="shared" si="17"/>
        <v>1125800</v>
      </c>
      <c r="X22" s="1236">
        <f t="shared" si="17"/>
        <v>0</v>
      </c>
      <c r="Y22" s="1236">
        <f t="shared" si="17"/>
        <v>388600</v>
      </c>
    </row>
    <row r="23" spans="1:25" ht="36">
      <c r="B23" s="1083"/>
      <c r="C23" s="1084" t="s">
        <v>34</v>
      </c>
      <c r="D23" s="1203">
        <v>1</v>
      </c>
      <c r="E23" s="1087" t="s">
        <v>850</v>
      </c>
      <c r="F23" s="1232">
        <f t="shared" si="11"/>
        <v>1038360</v>
      </c>
      <c r="G23" s="1232">
        <f t="shared" si="12"/>
        <v>20000</v>
      </c>
      <c r="H23" s="1240">
        <v>20000</v>
      </c>
      <c r="I23" s="1241"/>
      <c r="J23" s="1241"/>
      <c r="K23" s="1241"/>
      <c r="L23" s="1241"/>
      <c r="M23" s="1232">
        <f t="shared" si="14"/>
        <v>1018360</v>
      </c>
      <c r="N23" s="1240">
        <v>702000</v>
      </c>
      <c r="O23" s="1240">
        <v>25000</v>
      </c>
      <c r="P23" s="1240"/>
      <c r="Q23" s="1240">
        <v>7040</v>
      </c>
      <c r="R23" s="1240"/>
      <c r="S23" s="1240">
        <v>3000</v>
      </c>
      <c r="T23" s="1240">
        <v>14240</v>
      </c>
      <c r="U23" s="1240">
        <v>17080</v>
      </c>
      <c r="V23" s="1240"/>
      <c r="W23" s="1240">
        <v>250000</v>
      </c>
      <c r="X23" s="1240"/>
      <c r="Y23" s="1240"/>
    </row>
    <row r="24" spans="1:25" ht="24">
      <c r="B24" s="1083"/>
      <c r="C24" s="1084" t="s">
        <v>34</v>
      </c>
      <c r="D24" s="1203">
        <v>2</v>
      </c>
      <c r="E24" s="1087" t="s">
        <v>188</v>
      </c>
      <c r="F24" s="1232">
        <f t="shared" si="11"/>
        <v>39500</v>
      </c>
      <c r="G24" s="1232">
        <f t="shared" si="12"/>
        <v>0</v>
      </c>
      <c r="H24" s="1240">
        <v>0</v>
      </c>
      <c r="I24" s="1241"/>
      <c r="J24" s="1241"/>
      <c r="K24" s="1241"/>
      <c r="L24" s="1241"/>
      <c r="M24" s="1232">
        <f t="shared" si="14"/>
        <v>39500</v>
      </c>
      <c r="N24" s="1240"/>
      <c r="O24" s="1240">
        <v>5000</v>
      </c>
      <c r="P24" s="1240"/>
      <c r="Q24" s="1240">
        <v>10000</v>
      </c>
      <c r="R24" s="1240"/>
      <c r="S24" s="1240">
        <v>4000</v>
      </c>
      <c r="T24" s="1240">
        <v>2500</v>
      </c>
      <c r="U24" s="1240">
        <v>13000</v>
      </c>
      <c r="V24" s="1240"/>
      <c r="W24" s="1240">
        <v>5000</v>
      </c>
      <c r="X24" s="1240"/>
      <c r="Y24" s="1240"/>
    </row>
    <row r="25" spans="1:25" ht="36">
      <c r="B25" s="1083"/>
      <c r="C25" s="1084" t="s">
        <v>34</v>
      </c>
      <c r="D25" s="1203">
        <v>3</v>
      </c>
      <c r="E25" s="1087" t="s">
        <v>638</v>
      </c>
      <c r="F25" s="1232">
        <f t="shared" si="11"/>
        <v>2739797.45</v>
      </c>
      <c r="G25" s="1232">
        <f t="shared" si="12"/>
        <v>211600</v>
      </c>
      <c r="H25" s="1240">
        <v>211600</v>
      </c>
      <c r="I25" s="1241"/>
      <c r="J25" s="1241"/>
      <c r="K25" s="1241"/>
      <c r="L25" s="1241"/>
      <c r="M25" s="1232">
        <f t="shared" si="14"/>
        <v>2528197.4500000002</v>
      </c>
      <c r="N25" s="1240">
        <v>395880</v>
      </c>
      <c r="O25" s="1240">
        <v>107750</v>
      </c>
      <c r="P25" s="1240">
        <v>448200</v>
      </c>
      <c r="Q25" s="1240">
        <v>82064</v>
      </c>
      <c r="R25" s="1240">
        <v>111000</v>
      </c>
      <c r="S25" s="1240">
        <v>241733.15</v>
      </c>
      <c r="T25" s="1240">
        <v>285144</v>
      </c>
      <c r="U25" s="1240">
        <v>111826.3</v>
      </c>
      <c r="V25" s="1240">
        <v>107200</v>
      </c>
      <c r="W25" s="1240">
        <v>555400</v>
      </c>
      <c r="X25" s="1240"/>
      <c r="Y25" s="1240">
        <v>82000</v>
      </c>
    </row>
    <row r="26" spans="1:25">
      <c r="B26" s="1083"/>
      <c r="C26" s="1084" t="s">
        <v>34</v>
      </c>
      <c r="D26" s="1203">
        <v>4</v>
      </c>
      <c r="E26" s="1087" t="s">
        <v>292</v>
      </c>
      <c r="F26" s="1232"/>
      <c r="G26" s="1232"/>
      <c r="H26" s="1240"/>
      <c r="I26" s="1241"/>
      <c r="J26" s="1241"/>
      <c r="K26" s="1241"/>
      <c r="L26" s="1241"/>
      <c r="M26" s="1232"/>
      <c r="N26" s="1240"/>
      <c r="O26" s="1240"/>
      <c r="P26" s="1240"/>
      <c r="Q26" s="1240"/>
      <c r="R26" s="1240"/>
      <c r="S26" s="1240"/>
      <c r="T26" s="1240"/>
      <c r="U26" s="1240"/>
      <c r="V26" s="1240"/>
      <c r="W26" s="1240"/>
      <c r="X26" s="1240"/>
      <c r="Y26" s="1240"/>
    </row>
    <row r="27" spans="1:25" ht="48">
      <c r="B27" s="1083"/>
      <c r="C27" s="1084" t="s">
        <v>34</v>
      </c>
      <c r="D27" s="1203">
        <v>5</v>
      </c>
      <c r="E27" s="1086" t="s">
        <v>639</v>
      </c>
      <c r="F27" s="1232"/>
      <c r="G27" s="1232"/>
      <c r="H27" s="1240"/>
      <c r="I27" s="1241"/>
      <c r="J27" s="1241"/>
      <c r="K27" s="1241"/>
      <c r="L27" s="1241"/>
      <c r="M27" s="1232"/>
      <c r="N27" s="1240"/>
      <c r="O27" s="1240"/>
      <c r="P27" s="1240"/>
      <c r="Q27" s="1240"/>
      <c r="R27" s="1240"/>
      <c r="S27" s="1240"/>
      <c r="T27" s="1240"/>
      <c r="U27" s="1240"/>
      <c r="V27" s="1240"/>
      <c r="W27" s="1240"/>
      <c r="X27" s="1240"/>
      <c r="Y27" s="1240"/>
    </row>
    <row r="28" spans="1:25" ht="36">
      <c r="B28" s="1083"/>
      <c r="C28" s="1084" t="s">
        <v>34</v>
      </c>
      <c r="D28" s="1203">
        <v>6</v>
      </c>
      <c r="E28" s="1087" t="s">
        <v>514</v>
      </c>
      <c r="F28" s="1232">
        <f t="shared" si="11"/>
        <v>73940</v>
      </c>
      <c r="G28" s="1232">
        <f t="shared" si="12"/>
        <v>0</v>
      </c>
      <c r="H28" s="1240"/>
      <c r="I28" s="1241"/>
      <c r="J28" s="1241"/>
      <c r="K28" s="1241"/>
      <c r="L28" s="1241"/>
      <c r="M28" s="1232">
        <f t="shared" si="14"/>
        <v>73940</v>
      </c>
      <c r="N28" s="1240">
        <v>45080</v>
      </c>
      <c r="O28" s="1240"/>
      <c r="P28" s="1240"/>
      <c r="Q28" s="1240"/>
      <c r="R28" s="1240"/>
      <c r="S28" s="1240"/>
      <c r="T28" s="1240"/>
      <c r="U28" s="1240">
        <v>28860</v>
      </c>
      <c r="V28" s="1240"/>
      <c r="W28" s="1240"/>
      <c r="X28" s="1240"/>
      <c r="Y28" s="1240"/>
    </row>
    <row r="29" spans="1:25">
      <c r="B29" s="1083"/>
      <c r="C29" s="1084" t="s">
        <v>34</v>
      </c>
      <c r="D29" s="1203">
        <v>7</v>
      </c>
      <c r="E29" s="1087" t="s">
        <v>515</v>
      </c>
      <c r="F29" s="1232">
        <f t="shared" si="11"/>
        <v>26913</v>
      </c>
      <c r="G29" s="1232">
        <f t="shared" si="12"/>
        <v>0</v>
      </c>
      <c r="H29" s="1240"/>
      <c r="I29" s="1241"/>
      <c r="J29" s="1241"/>
      <c r="K29" s="1241"/>
      <c r="L29" s="1241"/>
      <c r="M29" s="1232">
        <f t="shared" si="14"/>
        <v>26913</v>
      </c>
      <c r="N29" s="1240">
        <v>26913</v>
      </c>
      <c r="O29" s="1240"/>
      <c r="P29" s="1240"/>
      <c r="Q29" s="1240"/>
      <c r="R29" s="1240"/>
      <c r="S29" s="1240"/>
      <c r="T29" s="1240"/>
      <c r="U29" s="1240"/>
      <c r="V29" s="1240"/>
      <c r="W29" s="1240"/>
      <c r="X29" s="1240"/>
      <c r="Y29" s="1240"/>
    </row>
    <row r="30" spans="1:25" ht="36">
      <c r="B30" s="1083"/>
      <c r="C30" s="1084" t="s">
        <v>34</v>
      </c>
      <c r="D30" s="1203">
        <v>8</v>
      </c>
      <c r="E30" s="1087" t="s">
        <v>854</v>
      </c>
      <c r="F30" s="1232">
        <f t="shared" si="11"/>
        <v>912000</v>
      </c>
      <c r="G30" s="1232">
        <f t="shared" si="12"/>
        <v>24000</v>
      </c>
      <c r="H30" s="1240">
        <v>24000</v>
      </c>
      <c r="I30" s="1241"/>
      <c r="J30" s="1241"/>
      <c r="K30" s="1241"/>
      <c r="L30" s="1241"/>
      <c r="M30" s="1232">
        <f t="shared" si="14"/>
        <v>888000</v>
      </c>
      <c r="N30" s="1240">
        <v>474000</v>
      </c>
      <c r="O30" s="1240"/>
      <c r="P30" s="1240"/>
      <c r="Q30" s="1240"/>
      <c r="R30" s="1240">
        <v>300000</v>
      </c>
      <c r="S30" s="1240">
        <v>18000</v>
      </c>
      <c r="T30" s="1240"/>
      <c r="U30" s="1240">
        <v>96000</v>
      </c>
      <c r="V30" s="1240"/>
      <c r="W30" s="1240"/>
      <c r="X30" s="1240"/>
      <c r="Y30" s="1240"/>
    </row>
    <row r="31" spans="1:25" ht="36">
      <c r="B31" s="1083"/>
      <c r="C31" s="1084" t="s">
        <v>34</v>
      </c>
      <c r="D31" s="1203">
        <v>9</v>
      </c>
      <c r="E31" s="1105" t="s">
        <v>517</v>
      </c>
      <c r="F31" s="1232">
        <f t="shared" si="11"/>
        <v>4940460</v>
      </c>
      <c r="G31" s="1232">
        <f t="shared" si="12"/>
        <v>383250</v>
      </c>
      <c r="H31" s="1240">
        <v>383250</v>
      </c>
      <c r="I31" s="1241"/>
      <c r="J31" s="1241"/>
      <c r="K31" s="1241"/>
      <c r="L31" s="1241"/>
      <c r="M31" s="1232">
        <f t="shared" si="14"/>
        <v>4557210</v>
      </c>
      <c r="N31" s="1240">
        <v>1609650</v>
      </c>
      <c r="O31" s="1240"/>
      <c r="P31" s="1240">
        <v>306600</v>
      </c>
      <c r="Q31" s="1240">
        <v>306600</v>
      </c>
      <c r="R31" s="1240">
        <v>594720</v>
      </c>
      <c r="S31" s="1240">
        <v>306600</v>
      </c>
      <c r="T31" s="1240">
        <v>306600</v>
      </c>
      <c r="U31" s="1240">
        <v>206640</v>
      </c>
      <c r="V31" s="1240">
        <v>306600</v>
      </c>
      <c r="W31" s="1240">
        <v>306600</v>
      </c>
      <c r="X31" s="1240"/>
      <c r="Y31" s="1240">
        <v>306600</v>
      </c>
    </row>
    <row r="32" spans="1:25" ht="48">
      <c r="B32" s="1083"/>
      <c r="C32" s="1084" t="s">
        <v>34</v>
      </c>
      <c r="D32" s="1203">
        <v>10</v>
      </c>
      <c r="E32" s="1105" t="s">
        <v>518</v>
      </c>
      <c r="F32" s="1232">
        <f t="shared" si="11"/>
        <v>20000</v>
      </c>
      <c r="G32" s="1232">
        <f t="shared" si="12"/>
        <v>0</v>
      </c>
      <c r="H32" s="1240"/>
      <c r="I32" s="1241"/>
      <c r="J32" s="1241"/>
      <c r="K32" s="1241"/>
      <c r="L32" s="1241"/>
      <c r="M32" s="1232">
        <f t="shared" si="14"/>
        <v>20000</v>
      </c>
      <c r="N32" s="1240">
        <v>20000</v>
      </c>
      <c r="O32" s="1240"/>
      <c r="P32" s="1240"/>
      <c r="Q32" s="1240"/>
      <c r="R32" s="1240"/>
      <c r="S32" s="1240"/>
      <c r="T32" s="1240"/>
      <c r="U32" s="1240"/>
      <c r="V32" s="1240"/>
      <c r="W32" s="1240"/>
      <c r="X32" s="1240"/>
      <c r="Y32" s="1240"/>
    </row>
    <row r="33" spans="1:25">
      <c r="B33" s="1083"/>
      <c r="C33" s="1084" t="s">
        <v>34</v>
      </c>
      <c r="D33" s="1203">
        <v>11</v>
      </c>
      <c r="E33" s="1096" t="s">
        <v>519</v>
      </c>
      <c r="F33" s="1232">
        <f t="shared" si="11"/>
        <v>8800</v>
      </c>
      <c r="G33" s="1232">
        <f t="shared" si="12"/>
        <v>0</v>
      </c>
      <c r="H33" s="1240"/>
      <c r="I33" s="1241"/>
      <c r="J33" s="1241"/>
      <c r="K33" s="1241"/>
      <c r="L33" s="1241"/>
      <c r="M33" s="1232">
        <f t="shared" si="14"/>
        <v>8800</v>
      </c>
      <c r="N33" s="1240"/>
      <c r="O33" s="1240"/>
      <c r="P33" s="1240"/>
      <c r="Q33" s="1240"/>
      <c r="R33" s="1240"/>
      <c r="S33" s="1240"/>
      <c r="T33" s="1240"/>
      <c r="U33" s="1240"/>
      <c r="V33" s="1240"/>
      <c r="W33" s="1240">
        <v>8800</v>
      </c>
      <c r="X33" s="1240"/>
      <c r="Y33" s="1240"/>
    </row>
    <row r="34" spans="1:25" s="1078" customFormat="1">
      <c r="A34" s="1078" t="s">
        <v>808</v>
      </c>
      <c r="B34" s="1079" t="s">
        <v>580</v>
      </c>
      <c r="C34" s="1080" t="s">
        <v>34</v>
      </c>
      <c r="D34" s="1431"/>
      <c r="E34" s="1081" t="s">
        <v>31</v>
      </c>
      <c r="F34" s="1235">
        <f t="shared" si="11"/>
        <v>58176</v>
      </c>
      <c r="G34" s="1235">
        <f t="shared" si="12"/>
        <v>8400</v>
      </c>
      <c r="H34" s="1236">
        <f>SUM(H35:H45)</f>
        <v>8400</v>
      </c>
      <c r="I34" s="1237">
        <f t="shared" ref="I34:Y34" si="18">SUM(I35:I45)</f>
        <v>0</v>
      </c>
      <c r="J34" s="1237">
        <f t="shared" si="18"/>
        <v>0</v>
      </c>
      <c r="K34" s="1237">
        <f t="shared" si="18"/>
        <v>0</v>
      </c>
      <c r="L34" s="1237">
        <f t="shared" si="18"/>
        <v>0</v>
      </c>
      <c r="M34" s="1235">
        <f t="shared" si="14"/>
        <v>49776</v>
      </c>
      <c r="N34" s="1236">
        <f t="shared" si="18"/>
        <v>4500</v>
      </c>
      <c r="O34" s="1236">
        <f t="shared" si="18"/>
        <v>12500</v>
      </c>
      <c r="P34" s="1236">
        <f t="shared" si="18"/>
        <v>5800</v>
      </c>
      <c r="Q34" s="1236">
        <f t="shared" si="18"/>
        <v>0</v>
      </c>
      <c r="R34" s="1236">
        <f t="shared" si="18"/>
        <v>26976</v>
      </c>
      <c r="S34" s="1236">
        <f t="shared" si="18"/>
        <v>0</v>
      </c>
      <c r="T34" s="1236">
        <f t="shared" si="18"/>
        <v>0</v>
      </c>
      <c r="U34" s="1236">
        <f t="shared" si="18"/>
        <v>0</v>
      </c>
      <c r="V34" s="1236">
        <f t="shared" si="18"/>
        <v>0</v>
      </c>
      <c r="W34" s="1236">
        <f t="shared" si="18"/>
        <v>0</v>
      </c>
      <c r="X34" s="1236">
        <f t="shared" si="18"/>
        <v>0</v>
      </c>
      <c r="Y34" s="1236">
        <f t="shared" si="18"/>
        <v>0</v>
      </c>
    </row>
    <row r="35" spans="1:25">
      <c r="B35" s="1090"/>
      <c r="C35" s="1091" t="s">
        <v>34</v>
      </c>
      <c r="D35" s="1432">
        <v>1</v>
      </c>
      <c r="E35" s="1086" t="s">
        <v>96</v>
      </c>
      <c r="F35" s="1232"/>
      <c r="G35" s="1232"/>
      <c r="H35" s="1240"/>
      <c r="I35" s="1241"/>
      <c r="J35" s="1241"/>
      <c r="K35" s="1241"/>
      <c r="L35" s="1241"/>
      <c r="M35" s="1232"/>
      <c r="N35" s="1240"/>
      <c r="O35" s="1240"/>
      <c r="P35" s="1240"/>
      <c r="Q35" s="1240"/>
      <c r="R35" s="1240"/>
      <c r="S35" s="1240"/>
      <c r="T35" s="1240"/>
      <c r="U35" s="1240"/>
      <c r="V35" s="1240"/>
      <c r="W35" s="1240"/>
      <c r="X35" s="1240"/>
      <c r="Y35" s="1240"/>
    </row>
    <row r="36" spans="1:25">
      <c r="B36" s="1090"/>
      <c r="C36" s="1091" t="s">
        <v>34</v>
      </c>
      <c r="D36" s="1432">
        <v>2</v>
      </c>
      <c r="E36" s="1087" t="s">
        <v>218</v>
      </c>
      <c r="F36" s="1232">
        <f t="shared" si="11"/>
        <v>16200</v>
      </c>
      <c r="G36" s="1232">
        <f t="shared" si="12"/>
        <v>0</v>
      </c>
      <c r="H36" s="1240"/>
      <c r="I36" s="1241"/>
      <c r="J36" s="1241"/>
      <c r="K36" s="1241"/>
      <c r="L36" s="1241"/>
      <c r="M36" s="1232">
        <f t="shared" si="14"/>
        <v>16200</v>
      </c>
      <c r="N36" s="1240"/>
      <c r="O36" s="1240">
        <v>5000</v>
      </c>
      <c r="P36" s="1240">
        <v>1200</v>
      </c>
      <c r="Q36" s="1240"/>
      <c r="R36" s="1240">
        <v>10000</v>
      </c>
      <c r="S36" s="1240"/>
      <c r="T36" s="1240"/>
      <c r="U36" s="1240"/>
      <c r="V36" s="1240"/>
      <c r="W36" s="1240"/>
      <c r="X36" s="1240"/>
      <c r="Y36" s="1240"/>
    </row>
    <row r="37" spans="1:25">
      <c r="B37" s="1090"/>
      <c r="C37" s="1091" t="s">
        <v>34</v>
      </c>
      <c r="D37" s="1432">
        <v>3</v>
      </c>
      <c r="E37" s="1087" t="s">
        <v>219</v>
      </c>
      <c r="F37" s="1232">
        <f t="shared" si="11"/>
        <v>5200</v>
      </c>
      <c r="G37" s="1232">
        <f t="shared" si="12"/>
        <v>0</v>
      </c>
      <c r="H37" s="1240"/>
      <c r="I37" s="1241"/>
      <c r="J37" s="1241"/>
      <c r="K37" s="1241"/>
      <c r="L37" s="1241"/>
      <c r="M37" s="1232">
        <f t="shared" si="14"/>
        <v>5200</v>
      </c>
      <c r="N37" s="1240"/>
      <c r="O37" s="1240">
        <v>1000</v>
      </c>
      <c r="P37" s="1240">
        <v>200</v>
      </c>
      <c r="Q37" s="1240"/>
      <c r="R37" s="1240">
        <v>4000</v>
      </c>
      <c r="S37" s="1240"/>
      <c r="T37" s="1240"/>
      <c r="U37" s="1240"/>
      <c r="V37" s="1240"/>
      <c r="W37" s="1240"/>
      <c r="X37" s="1240"/>
      <c r="Y37" s="1240"/>
    </row>
    <row r="38" spans="1:25">
      <c r="B38" s="1090"/>
      <c r="C38" s="1091" t="s">
        <v>34</v>
      </c>
      <c r="D38" s="1432">
        <v>4</v>
      </c>
      <c r="E38" s="1087" t="s">
        <v>220</v>
      </c>
      <c r="F38" s="1232">
        <f t="shared" si="11"/>
        <v>9400</v>
      </c>
      <c r="G38" s="1232">
        <f t="shared" si="12"/>
        <v>0</v>
      </c>
      <c r="H38" s="1240"/>
      <c r="I38" s="1241"/>
      <c r="J38" s="1241"/>
      <c r="K38" s="1241"/>
      <c r="L38" s="1241"/>
      <c r="M38" s="1232">
        <f t="shared" si="14"/>
        <v>9400</v>
      </c>
      <c r="N38" s="1240"/>
      <c r="O38" s="1240">
        <v>2500</v>
      </c>
      <c r="P38" s="1240">
        <v>2400</v>
      </c>
      <c r="Q38" s="1240"/>
      <c r="R38" s="1240">
        <v>4500</v>
      </c>
      <c r="S38" s="1240"/>
      <c r="T38" s="1240"/>
      <c r="U38" s="1240"/>
      <c r="V38" s="1240"/>
      <c r="W38" s="1240"/>
      <c r="X38" s="1240"/>
      <c r="Y38" s="1240"/>
    </row>
    <row r="39" spans="1:25" ht="36">
      <c r="B39" s="1090"/>
      <c r="C39" s="1091" t="s">
        <v>34</v>
      </c>
      <c r="D39" s="1432">
        <v>5</v>
      </c>
      <c r="E39" s="1087" t="s">
        <v>221</v>
      </c>
      <c r="F39" s="1232">
        <f t="shared" si="11"/>
        <v>6900</v>
      </c>
      <c r="G39" s="1232">
        <f t="shared" si="12"/>
        <v>0</v>
      </c>
      <c r="H39" s="1240"/>
      <c r="I39" s="1241"/>
      <c r="J39" s="1241"/>
      <c r="K39" s="1241"/>
      <c r="L39" s="1241"/>
      <c r="M39" s="1232">
        <f t="shared" si="14"/>
        <v>6900</v>
      </c>
      <c r="N39" s="1240"/>
      <c r="O39" s="1240">
        <v>2500</v>
      </c>
      <c r="P39" s="1240">
        <v>2000</v>
      </c>
      <c r="Q39" s="1240"/>
      <c r="R39" s="1240">
        <v>2400</v>
      </c>
      <c r="S39" s="1240"/>
      <c r="T39" s="1240"/>
      <c r="U39" s="1240"/>
      <c r="V39" s="1240"/>
      <c r="W39" s="1240"/>
      <c r="X39" s="1240"/>
      <c r="Y39" s="1240"/>
    </row>
    <row r="40" spans="1:25">
      <c r="B40" s="1090"/>
      <c r="C40" s="1091" t="s">
        <v>34</v>
      </c>
      <c r="D40" s="1432">
        <v>6</v>
      </c>
      <c r="E40" s="1087" t="s">
        <v>290</v>
      </c>
      <c r="F40" s="1232">
        <f t="shared" si="11"/>
        <v>1700</v>
      </c>
      <c r="G40" s="1232">
        <f t="shared" si="12"/>
        <v>0</v>
      </c>
      <c r="H40" s="1240"/>
      <c r="I40" s="1241"/>
      <c r="J40" s="1241"/>
      <c r="K40" s="1241"/>
      <c r="L40" s="1241"/>
      <c r="M40" s="1232">
        <f t="shared" si="14"/>
        <v>1700</v>
      </c>
      <c r="N40" s="1240"/>
      <c r="O40" s="1240">
        <v>1000</v>
      </c>
      <c r="P40" s="1240"/>
      <c r="Q40" s="1240"/>
      <c r="R40" s="1240">
        <v>700</v>
      </c>
      <c r="S40" s="1240"/>
      <c r="T40" s="1240"/>
      <c r="U40" s="1240"/>
      <c r="V40" s="1240"/>
      <c r="W40" s="1240"/>
      <c r="X40" s="1240"/>
      <c r="Y40" s="1240"/>
    </row>
    <row r="41" spans="1:25">
      <c r="B41" s="1090"/>
      <c r="C41" s="1091" t="s">
        <v>34</v>
      </c>
      <c r="D41" s="1432">
        <v>7</v>
      </c>
      <c r="E41" s="1087" t="s">
        <v>291</v>
      </c>
      <c r="F41" s="1232">
        <f t="shared" si="11"/>
        <v>8900</v>
      </c>
      <c r="G41" s="1232">
        <f t="shared" si="12"/>
        <v>8400</v>
      </c>
      <c r="H41" s="1240">
        <v>8400</v>
      </c>
      <c r="I41" s="1241"/>
      <c r="J41" s="1241"/>
      <c r="K41" s="1241"/>
      <c r="L41" s="1241"/>
      <c r="M41" s="1232">
        <f t="shared" si="14"/>
        <v>500</v>
      </c>
      <c r="N41" s="1240"/>
      <c r="O41" s="1240">
        <v>500</v>
      </c>
      <c r="P41" s="1240"/>
      <c r="Q41" s="1240"/>
      <c r="R41" s="1240"/>
      <c r="S41" s="1240"/>
      <c r="T41" s="1240"/>
      <c r="U41" s="1240"/>
      <c r="V41" s="1240"/>
      <c r="W41" s="1240"/>
      <c r="X41" s="1240"/>
      <c r="Y41" s="1240"/>
    </row>
    <row r="42" spans="1:25">
      <c r="B42" s="1090"/>
      <c r="C42" s="1091" t="s">
        <v>34</v>
      </c>
      <c r="D42" s="1432">
        <v>8</v>
      </c>
      <c r="E42" s="1087" t="s">
        <v>92</v>
      </c>
      <c r="F42" s="1232">
        <f t="shared" si="11"/>
        <v>4500</v>
      </c>
      <c r="G42" s="1232">
        <f t="shared" si="12"/>
        <v>0</v>
      </c>
      <c r="H42" s="1245"/>
      <c r="I42" s="1246"/>
      <c r="J42" s="1246"/>
      <c r="K42" s="1246"/>
      <c r="L42" s="1246"/>
      <c r="M42" s="1232">
        <f t="shared" si="14"/>
        <v>4500</v>
      </c>
      <c r="N42" s="1245">
        <v>4500</v>
      </c>
      <c r="O42" s="1245"/>
      <c r="P42" s="1245"/>
      <c r="Q42" s="1245"/>
      <c r="R42" s="1245"/>
      <c r="S42" s="1245"/>
      <c r="T42" s="1245"/>
      <c r="U42" s="1245"/>
      <c r="V42" s="1245"/>
      <c r="W42" s="1245"/>
      <c r="X42" s="1245"/>
      <c r="Y42" s="1245"/>
    </row>
    <row r="43" spans="1:25" ht="24">
      <c r="B43" s="1090"/>
      <c r="C43" s="1091" t="s">
        <v>34</v>
      </c>
      <c r="D43" s="1432">
        <v>9</v>
      </c>
      <c r="E43" s="1086" t="s">
        <v>641</v>
      </c>
      <c r="F43" s="1232">
        <f t="shared" si="11"/>
        <v>1200</v>
      </c>
      <c r="G43" s="1232">
        <f t="shared" si="12"/>
        <v>0</v>
      </c>
      <c r="H43" s="1245"/>
      <c r="I43" s="1246"/>
      <c r="J43" s="1246"/>
      <c r="K43" s="1246"/>
      <c r="L43" s="1246"/>
      <c r="M43" s="1232">
        <f t="shared" si="14"/>
        <v>1200</v>
      </c>
      <c r="N43" s="1245"/>
      <c r="O43" s="1245"/>
      <c r="P43" s="1245"/>
      <c r="Q43" s="1245"/>
      <c r="R43" s="1245">
        <v>1200</v>
      </c>
      <c r="S43" s="1245"/>
      <c r="T43" s="1245"/>
      <c r="U43" s="1245"/>
      <c r="V43" s="1245"/>
      <c r="W43" s="1245"/>
      <c r="X43" s="1245"/>
      <c r="Y43" s="1245"/>
    </row>
    <row r="44" spans="1:25" ht="24">
      <c r="B44" s="1090"/>
      <c r="C44" s="1091" t="s">
        <v>34</v>
      </c>
      <c r="D44" s="1432">
        <v>10</v>
      </c>
      <c r="E44" s="1087" t="s">
        <v>521</v>
      </c>
      <c r="F44" s="1232">
        <f t="shared" si="11"/>
        <v>4176</v>
      </c>
      <c r="G44" s="1232">
        <f t="shared" si="12"/>
        <v>0</v>
      </c>
      <c r="H44" s="1245"/>
      <c r="I44" s="1246"/>
      <c r="J44" s="1246"/>
      <c r="K44" s="1246"/>
      <c r="L44" s="1246"/>
      <c r="M44" s="1232">
        <f t="shared" si="14"/>
        <v>4176</v>
      </c>
      <c r="N44" s="1245"/>
      <c r="O44" s="1245"/>
      <c r="P44" s="1245"/>
      <c r="Q44" s="1245"/>
      <c r="R44" s="1245">
        <v>4176</v>
      </c>
      <c r="S44" s="1245"/>
      <c r="T44" s="1245"/>
      <c r="U44" s="1245"/>
      <c r="V44" s="1245"/>
      <c r="W44" s="1245"/>
      <c r="X44" s="1245"/>
      <c r="Y44" s="1245"/>
    </row>
    <row r="45" spans="1:25" ht="24">
      <c r="B45" s="1090"/>
      <c r="C45" s="1091" t="s">
        <v>34</v>
      </c>
      <c r="D45" s="1432">
        <v>11</v>
      </c>
      <c r="E45" s="1087" t="s">
        <v>522</v>
      </c>
      <c r="F45" s="1232"/>
      <c r="G45" s="1232"/>
      <c r="H45" s="1245"/>
      <c r="I45" s="1246"/>
      <c r="J45" s="1246"/>
      <c r="K45" s="1246"/>
      <c r="L45" s="1246"/>
      <c r="M45" s="1232"/>
      <c r="N45" s="1245"/>
      <c r="O45" s="1245"/>
      <c r="P45" s="1245"/>
      <c r="Q45" s="1245"/>
      <c r="R45" s="1245"/>
      <c r="S45" s="1245"/>
      <c r="T45" s="1245"/>
      <c r="U45" s="1245"/>
      <c r="V45" s="1245"/>
      <c r="W45" s="1245"/>
      <c r="X45" s="1245"/>
      <c r="Y45" s="1245"/>
    </row>
    <row r="46" spans="1:25" s="1078" customFormat="1" ht="36">
      <c r="A46" s="1078" t="s">
        <v>809</v>
      </c>
      <c r="B46" s="1079" t="s">
        <v>581</v>
      </c>
      <c r="C46" s="1080" t="s">
        <v>34</v>
      </c>
      <c r="D46" s="1431"/>
      <c r="E46" s="1081" t="s">
        <v>223</v>
      </c>
      <c r="F46" s="1235">
        <f t="shared" si="11"/>
        <v>149550</v>
      </c>
      <c r="G46" s="1235">
        <f t="shared" si="12"/>
        <v>30000</v>
      </c>
      <c r="H46" s="1236">
        <f>SUM(H47:H50)</f>
        <v>30000</v>
      </c>
      <c r="I46" s="1237">
        <f t="shared" ref="I46:Y46" si="19">SUM(I47:I50)</f>
        <v>0</v>
      </c>
      <c r="J46" s="1237">
        <f t="shared" si="19"/>
        <v>0</v>
      </c>
      <c r="K46" s="1237">
        <f t="shared" si="19"/>
        <v>0</v>
      </c>
      <c r="L46" s="1237">
        <f t="shared" si="19"/>
        <v>0</v>
      </c>
      <c r="M46" s="1235">
        <f t="shared" si="14"/>
        <v>119550</v>
      </c>
      <c r="N46" s="1236">
        <f t="shared" si="19"/>
        <v>0</v>
      </c>
      <c r="O46" s="1236">
        <f t="shared" si="19"/>
        <v>0</v>
      </c>
      <c r="P46" s="1236">
        <f t="shared" si="19"/>
        <v>0</v>
      </c>
      <c r="Q46" s="1236">
        <f t="shared" si="19"/>
        <v>0</v>
      </c>
      <c r="R46" s="1236">
        <f t="shared" si="19"/>
        <v>119550</v>
      </c>
      <c r="S46" s="1236">
        <f t="shared" si="19"/>
        <v>0</v>
      </c>
      <c r="T46" s="1236">
        <f t="shared" si="19"/>
        <v>0</v>
      </c>
      <c r="U46" s="1236">
        <f t="shared" si="19"/>
        <v>0</v>
      </c>
      <c r="V46" s="1236">
        <f t="shared" si="19"/>
        <v>0</v>
      </c>
      <c r="W46" s="1236">
        <f t="shared" si="19"/>
        <v>0</v>
      </c>
      <c r="X46" s="1236">
        <f t="shared" si="19"/>
        <v>0</v>
      </c>
      <c r="Y46" s="1236">
        <f t="shared" si="19"/>
        <v>0</v>
      </c>
    </row>
    <row r="47" spans="1:25" s="1088" customFormat="1" ht="96">
      <c r="B47" s="1092"/>
      <c r="C47" s="1084" t="s">
        <v>34</v>
      </c>
      <c r="D47" s="1203">
        <v>1</v>
      </c>
      <c r="E47" s="1085" t="s">
        <v>321</v>
      </c>
      <c r="F47" s="1232">
        <f t="shared" si="11"/>
        <v>12900</v>
      </c>
      <c r="G47" s="1232">
        <f t="shared" si="12"/>
        <v>10000</v>
      </c>
      <c r="H47" s="1247">
        <v>10000</v>
      </c>
      <c r="I47" s="1241"/>
      <c r="J47" s="1241"/>
      <c r="K47" s="1241"/>
      <c r="L47" s="1241"/>
      <c r="M47" s="1232">
        <f t="shared" si="14"/>
        <v>2900</v>
      </c>
      <c r="N47" s="1238"/>
      <c r="O47" s="1238"/>
      <c r="P47" s="1238"/>
      <c r="Q47" s="1238"/>
      <c r="R47" s="1247">
        <v>2900</v>
      </c>
      <c r="S47" s="1238"/>
      <c r="T47" s="1238"/>
      <c r="U47" s="1238"/>
      <c r="V47" s="1238"/>
      <c r="W47" s="1240"/>
      <c r="X47" s="1238"/>
      <c r="Y47" s="1238"/>
    </row>
    <row r="48" spans="1:25" s="1088" customFormat="1" ht="84">
      <c r="B48" s="1092"/>
      <c r="C48" s="1084" t="s">
        <v>34</v>
      </c>
      <c r="D48" s="1203">
        <v>2</v>
      </c>
      <c r="E48" s="1086" t="s">
        <v>642</v>
      </c>
      <c r="F48" s="1232"/>
      <c r="G48" s="1232"/>
      <c r="H48" s="1247"/>
      <c r="I48" s="1241"/>
      <c r="J48" s="1241"/>
      <c r="K48" s="1241"/>
      <c r="L48" s="1241"/>
      <c r="M48" s="1232"/>
      <c r="N48" s="1238"/>
      <c r="O48" s="1238"/>
      <c r="P48" s="1238"/>
      <c r="Q48" s="1238"/>
      <c r="R48" s="1248"/>
      <c r="S48" s="1238"/>
      <c r="T48" s="1238"/>
      <c r="U48" s="1238"/>
      <c r="V48" s="1238"/>
      <c r="W48" s="1240"/>
      <c r="X48" s="1238"/>
      <c r="Y48" s="1238"/>
    </row>
    <row r="49" spans="1:25" s="1088" customFormat="1" ht="72">
      <c r="B49" s="1092"/>
      <c r="C49" s="1084" t="s">
        <v>34</v>
      </c>
      <c r="D49" s="1203">
        <v>3</v>
      </c>
      <c r="E49" s="1086" t="s">
        <v>627</v>
      </c>
      <c r="F49" s="1232"/>
      <c r="G49" s="1232"/>
      <c r="H49" s="1247"/>
      <c r="I49" s="1241"/>
      <c r="J49" s="1241"/>
      <c r="K49" s="1241"/>
      <c r="L49" s="1241"/>
      <c r="M49" s="1232"/>
      <c r="N49" s="1240"/>
      <c r="O49" s="1240"/>
      <c r="P49" s="1240"/>
      <c r="Q49" s="1240"/>
      <c r="R49" s="1240"/>
      <c r="S49" s="1240"/>
      <c r="T49" s="1240"/>
      <c r="U49" s="1240"/>
      <c r="V49" s="1240"/>
      <c r="W49" s="1240"/>
      <c r="X49" s="1240"/>
      <c r="Y49" s="1240"/>
    </row>
    <row r="50" spans="1:25" s="1088" customFormat="1" ht="60">
      <c r="B50" s="1092"/>
      <c r="C50" s="1084" t="s">
        <v>34</v>
      </c>
      <c r="D50" s="1203">
        <v>4</v>
      </c>
      <c r="E50" s="1085" t="s">
        <v>618</v>
      </c>
      <c r="F50" s="1232">
        <f t="shared" si="11"/>
        <v>136650</v>
      </c>
      <c r="G50" s="1232">
        <f t="shared" si="12"/>
        <v>20000</v>
      </c>
      <c r="H50" s="1247">
        <v>20000</v>
      </c>
      <c r="I50" s="1241"/>
      <c r="J50" s="1241"/>
      <c r="K50" s="1241"/>
      <c r="L50" s="1241"/>
      <c r="M50" s="1232">
        <f t="shared" si="14"/>
        <v>116650</v>
      </c>
      <c r="N50" s="1238"/>
      <c r="O50" s="1238"/>
      <c r="P50" s="1238"/>
      <c r="Q50" s="1238"/>
      <c r="R50" s="1247">
        <v>116650</v>
      </c>
      <c r="S50" s="1238"/>
      <c r="T50" s="1238"/>
      <c r="U50" s="1238"/>
      <c r="V50" s="1238"/>
      <c r="W50" s="1240"/>
      <c r="X50" s="1238"/>
      <c r="Y50" s="1238"/>
    </row>
    <row r="51" spans="1:25" s="1075" customFormat="1" ht="36">
      <c r="A51" s="1075">
        <v>2</v>
      </c>
      <c r="B51" s="1093">
        <v>2</v>
      </c>
      <c r="C51" s="1077" t="s">
        <v>34</v>
      </c>
      <c r="D51" s="1303"/>
      <c r="E51" s="1286" t="s">
        <v>234</v>
      </c>
      <c r="F51" s="1249">
        <f t="shared" si="11"/>
        <v>6454986.3459999999</v>
      </c>
      <c r="G51" s="1249">
        <f t="shared" si="12"/>
        <v>1297680</v>
      </c>
      <c r="H51" s="1233">
        <f>H52+H77+H96+H117</f>
        <v>1297680</v>
      </c>
      <c r="I51" s="1233">
        <f t="shared" ref="I51:L51" si="20">I52+I77+I96+I117</f>
        <v>0</v>
      </c>
      <c r="J51" s="1233">
        <f t="shared" si="20"/>
        <v>0</v>
      </c>
      <c r="K51" s="1233">
        <f t="shared" si="20"/>
        <v>0</v>
      </c>
      <c r="L51" s="1233">
        <f t="shared" si="20"/>
        <v>0</v>
      </c>
      <c r="M51" s="1249">
        <f t="shared" si="14"/>
        <v>5157306.3459999999</v>
      </c>
      <c r="N51" s="1233">
        <f t="shared" ref="N51:Y51" si="21">N52+N77+N96+N117</f>
        <v>493343</v>
      </c>
      <c r="O51" s="1233">
        <f t="shared" si="21"/>
        <v>66340</v>
      </c>
      <c r="P51" s="1233">
        <f t="shared" si="21"/>
        <v>71002</v>
      </c>
      <c r="Q51" s="1233">
        <f t="shared" si="21"/>
        <v>242975</v>
      </c>
      <c r="R51" s="1233">
        <f t="shared" si="21"/>
        <v>407340</v>
      </c>
      <c r="S51" s="1233">
        <f t="shared" si="21"/>
        <v>62503</v>
      </c>
      <c r="T51" s="1233">
        <f t="shared" si="21"/>
        <v>446366.34600000002</v>
      </c>
      <c r="U51" s="1233">
        <f t="shared" si="21"/>
        <v>301702</v>
      </c>
      <c r="V51" s="1233">
        <f t="shared" si="21"/>
        <v>522285</v>
      </c>
      <c r="W51" s="1233">
        <f t="shared" si="21"/>
        <v>180990</v>
      </c>
      <c r="X51" s="1233">
        <f t="shared" si="21"/>
        <v>188730</v>
      </c>
      <c r="Y51" s="1233">
        <f t="shared" si="21"/>
        <v>2173730</v>
      </c>
    </row>
    <row r="52" spans="1:25" s="1078" customFormat="1" ht="24">
      <c r="A52" s="1078" t="s">
        <v>806</v>
      </c>
      <c r="B52" s="1094" t="s">
        <v>251</v>
      </c>
      <c r="C52" s="1080" t="s">
        <v>34</v>
      </c>
      <c r="D52" s="1431"/>
      <c r="E52" s="1290" t="s">
        <v>18</v>
      </c>
      <c r="F52" s="1235">
        <f t="shared" si="11"/>
        <v>3199759.3459999999</v>
      </c>
      <c r="G52" s="1235">
        <f t="shared" si="12"/>
        <v>492700</v>
      </c>
      <c r="H52" s="1236">
        <f>SUM(H53:H76)</f>
        <v>492700</v>
      </c>
      <c r="I52" s="1237">
        <f t="shared" ref="I52:Y52" si="22">SUM(I53:I76)</f>
        <v>0</v>
      </c>
      <c r="J52" s="1237">
        <f t="shared" si="22"/>
        <v>0</v>
      </c>
      <c r="K52" s="1237">
        <f t="shared" si="22"/>
        <v>0</v>
      </c>
      <c r="L52" s="1237">
        <f t="shared" si="22"/>
        <v>0</v>
      </c>
      <c r="M52" s="1235">
        <f t="shared" si="14"/>
        <v>2707059.3459999999</v>
      </c>
      <c r="N52" s="1236">
        <f t="shared" si="22"/>
        <v>449686</v>
      </c>
      <c r="O52" s="1236">
        <f t="shared" si="22"/>
        <v>15862</v>
      </c>
      <c r="P52" s="1236">
        <f t="shared" si="22"/>
        <v>22965</v>
      </c>
      <c r="Q52" s="1236">
        <f t="shared" si="22"/>
        <v>6800</v>
      </c>
      <c r="R52" s="1236">
        <f t="shared" si="22"/>
        <v>152180</v>
      </c>
      <c r="S52" s="1236">
        <f t="shared" si="22"/>
        <v>1470</v>
      </c>
      <c r="T52" s="1236">
        <f t="shared" si="22"/>
        <v>11656.346</v>
      </c>
      <c r="U52" s="1236">
        <f t="shared" si="22"/>
        <v>3340</v>
      </c>
      <c r="V52" s="1236">
        <f t="shared" si="22"/>
        <v>22200</v>
      </c>
      <c r="W52" s="1236">
        <f t="shared" si="22"/>
        <v>15350</v>
      </c>
      <c r="X52" s="1236">
        <f t="shared" si="22"/>
        <v>2400</v>
      </c>
      <c r="Y52" s="1236">
        <f t="shared" si="22"/>
        <v>2003150</v>
      </c>
    </row>
    <row r="53" spans="1:25" s="1095" customFormat="1" ht="60">
      <c r="B53" s="1092"/>
      <c r="C53" s="1084" t="s">
        <v>34</v>
      </c>
      <c r="D53" s="1203">
        <v>1</v>
      </c>
      <c r="E53" s="1096" t="s">
        <v>643</v>
      </c>
      <c r="F53" s="1232"/>
      <c r="G53" s="1232"/>
      <c r="H53" s="1238"/>
      <c r="I53" s="1250"/>
      <c r="J53" s="1250"/>
      <c r="K53" s="1250"/>
      <c r="L53" s="1250"/>
      <c r="M53" s="1232"/>
      <c r="N53" s="1238"/>
      <c r="O53" s="1238"/>
      <c r="P53" s="1238"/>
      <c r="Q53" s="1238"/>
      <c r="R53" s="1238"/>
      <c r="S53" s="1238"/>
      <c r="T53" s="1238"/>
      <c r="U53" s="1238"/>
      <c r="V53" s="1238"/>
      <c r="W53" s="1238"/>
      <c r="X53" s="1238"/>
      <c r="Y53" s="1238"/>
    </row>
    <row r="54" spans="1:25" s="1095" customFormat="1" ht="72">
      <c r="B54" s="1092"/>
      <c r="C54" s="1084" t="s">
        <v>34</v>
      </c>
      <c r="D54" s="1203">
        <v>2</v>
      </c>
      <c r="E54" s="1096" t="s">
        <v>644</v>
      </c>
      <c r="F54" s="1232"/>
      <c r="G54" s="1232"/>
      <c r="H54" s="1238"/>
      <c r="I54" s="1250"/>
      <c r="J54" s="1250"/>
      <c r="K54" s="1250"/>
      <c r="L54" s="1250"/>
      <c r="M54" s="1232"/>
      <c r="N54" s="1238"/>
      <c r="O54" s="1238"/>
      <c r="P54" s="1238"/>
      <c r="Q54" s="1238"/>
      <c r="R54" s="1238"/>
      <c r="S54" s="1238"/>
      <c r="T54" s="1238"/>
      <c r="U54" s="1238"/>
      <c r="V54" s="1238"/>
      <c r="W54" s="1238"/>
      <c r="X54" s="1238"/>
      <c r="Y54" s="1238"/>
    </row>
    <row r="55" spans="1:25" s="1088" customFormat="1" ht="36">
      <c r="B55" s="1092"/>
      <c r="C55" s="1084" t="s">
        <v>34</v>
      </c>
      <c r="D55" s="1203">
        <v>3</v>
      </c>
      <c r="E55" s="1097" t="s">
        <v>388</v>
      </c>
      <c r="F55" s="1232">
        <f t="shared" si="11"/>
        <v>50000</v>
      </c>
      <c r="G55" s="1232">
        <f t="shared" si="12"/>
        <v>30000</v>
      </c>
      <c r="H55" s="1238">
        <v>30000</v>
      </c>
      <c r="I55" s="1239"/>
      <c r="J55" s="1239"/>
      <c r="K55" s="1239"/>
      <c r="L55" s="1239"/>
      <c r="M55" s="1232">
        <f t="shared" si="14"/>
        <v>20000</v>
      </c>
      <c r="N55" s="1238"/>
      <c r="O55" s="1238"/>
      <c r="P55" s="1238"/>
      <c r="Q55" s="1238"/>
      <c r="R55" s="1238">
        <v>20000</v>
      </c>
      <c r="S55" s="1238"/>
      <c r="T55" s="1238"/>
      <c r="U55" s="1238"/>
      <c r="V55" s="1238"/>
      <c r="W55" s="1238"/>
      <c r="X55" s="1238"/>
      <c r="Y55" s="1238"/>
    </row>
    <row r="56" spans="1:25" s="1088" customFormat="1" ht="60">
      <c r="B56" s="1092"/>
      <c r="C56" s="1084" t="s">
        <v>34</v>
      </c>
      <c r="D56" s="1203">
        <v>4</v>
      </c>
      <c r="E56" s="1097" t="s">
        <v>35</v>
      </c>
      <c r="F56" s="1232">
        <f t="shared" si="11"/>
        <v>93580</v>
      </c>
      <c r="G56" s="1232">
        <f t="shared" si="12"/>
        <v>17700</v>
      </c>
      <c r="H56" s="1240">
        <v>17700</v>
      </c>
      <c r="I56" s="1239"/>
      <c r="J56" s="1239"/>
      <c r="K56" s="1239"/>
      <c r="L56" s="1239"/>
      <c r="M56" s="1232">
        <f t="shared" si="14"/>
        <v>75880</v>
      </c>
      <c r="N56" s="1240">
        <v>10360</v>
      </c>
      <c r="O56" s="1240">
        <v>6600</v>
      </c>
      <c r="P56" s="1240">
        <v>20740</v>
      </c>
      <c r="Q56" s="1240">
        <v>4800</v>
      </c>
      <c r="R56" s="1240">
        <v>2180</v>
      </c>
      <c r="S56" s="1240">
        <v>1470</v>
      </c>
      <c r="T56" s="1240">
        <v>7300</v>
      </c>
      <c r="U56" s="1240">
        <v>1620</v>
      </c>
      <c r="V56" s="1240">
        <v>12760</v>
      </c>
      <c r="W56" s="1240">
        <v>3350</v>
      </c>
      <c r="X56" s="1240">
        <v>2400</v>
      </c>
      <c r="Y56" s="1240">
        <v>2300</v>
      </c>
    </row>
    <row r="57" spans="1:25" s="1088" customFormat="1" ht="36">
      <c r="B57" s="1092"/>
      <c r="C57" s="1084" t="s">
        <v>34</v>
      </c>
      <c r="D57" s="1203">
        <v>5</v>
      </c>
      <c r="E57" s="1097" t="s">
        <v>389</v>
      </c>
      <c r="F57" s="1232"/>
      <c r="G57" s="1232"/>
      <c r="H57" s="1240"/>
      <c r="I57" s="1239"/>
      <c r="J57" s="1239"/>
      <c r="K57" s="1239"/>
      <c r="L57" s="1239"/>
      <c r="M57" s="1232"/>
      <c r="N57" s="1240"/>
      <c r="O57" s="1240"/>
      <c r="P57" s="1240"/>
      <c r="Q57" s="1240"/>
      <c r="R57" s="1240"/>
      <c r="S57" s="1240"/>
      <c r="T57" s="1240"/>
      <c r="U57" s="1240"/>
      <c r="V57" s="1240"/>
      <c r="W57" s="1240"/>
      <c r="X57" s="1240"/>
      <c r="Y57" s="1240"/>
    </row>
    <row r="58" spans="1:25" s="1088" customFormat="1" ht="36">
      <c r="B58" s="1092"/>
      <c r="C58" s="1084" t="s">
        <v>34</v>
      </c>
      <c r="D58" s="1203">
        <v>6</v>
      </c>
      <c r="E58" s="1098" t="s">
        <v>645</v>
      </c>
      <c r="F58" s="1232"/>
      <c r="G58" s="1232"/>
      <c r="H58" s="1240"/>
      <c r="I58" s="1239"/>
      <c r="J58" s="1239"/>
      <c r="K58" s="1239"/>
      <c r="L58" s="1239"/>
      <c r="M58" s="1232"/>
      <c r="N58" s="1240"/>
      <c r="O58" s="1240"/>
      <c r="P58" s="1240"/>
      <c r="Q58" s="1240"/>
      <c r="R58" s="1240"/>
      <c r="S58" s="1240"/>
      <c r="T58" s="1240"/>
      <c r="U58" s="1240"/>
      <c r="V58" s="1240"/>
      <c r="W58" s="1240"/>
      <c r="X58" s="1240"/>
      <c r="Y58" s="1240"/>
    </row>
    <row r="59" spans="1:25" s="1088" customFormat="1" ht="36">
      <c r="B59" s="1092"/>
      <c r="C59" s="1084" t="s">
        <v>34</v>
      </c>
      <c r="D59" s="1203">
        <v>7</v>
      </c>
      <c r="E59" s="1097" t="s">
        <v>855</v>
      </c>
      <c r="F59" s="1232">
        <f t="shared" si="11"/>
        <v>2006800</v>
      </c>
      <c r="G59" s="1232">
        <f t="shared" si="12"/>
        <v>5000</v>
      </c>
      <c r="H59" s="1240">
        <v>5000</v>
      </c>
      <c r="I59" s="1239"/>
      <c r="J59" s="1239"/>
      <c r="K59" s="1239"/>
      <c r="L59" s="1239"/>
      <c r="M59" s="1232">
        <f t="shared" si="14"/>
        <v>2001800</v>
      </c>
      <c r="N59" s="1240"/>
      <c r="O59" s="1240">
        <v>1800</v>
      </c>
      <c r="P59" s="1240"/>
      <c r="Q59" s="1240"/>
      <c r="R59" s="1240"/>
      <c r="S59" s="1240"/>
      <c r="T59" s="1240"/>
      <c r="U59" s="1240"/>
      <c r="V59" s="1240"/>
      <c r="W59" s="1240"/>
      <c r="X59" s="1240"/>
      <c r="Y59" s="1240">
        <v>2000000</v>
      </c>
    </row>
    <row r="60" spans="1:25" s="1088" customFormat="1" ht="96">
      <c r="B60" s="1092"/>
      <c r="C60" s="1084" t="s">
        <v>34</v>
      </c>
      <c r="D60" s="1203">
        <v>8</v>
      </c>
      <c r="E60" s="1099" t="s">
        <v>647</v>
      </c>
      <c r="F60" s="1232"/>
      <c r="G60" s="1232"/>
      <c r="H60" s="1240"/>
      <c r="I60" s="1239"/>
      <c r="J60" s="1239"/>
      <c r="K60" s="1239"/>
      <c r="L60" s="1239"/>
      <c r="M60" s="1232"/>
      <c r="N60" s="1240"/>
      <c r="O60" s="1240"/>
      <c r="P60" s="1240"/>
      <c r="Q60" s="1240"/>
      <c r="R60" s="1240"/>
      <c r="S60" s="1240"/>
      <c r="T60" s="1240"/>
      <c r="U60" s="1240"/>
      <c r="V60" s="1240"/>
      <c r="W60" s="1240"/>
      <c r="X60" s="1240"/>
      <c r="Y60" s="1240"/>
    </row>
    <row r="61" spans="1:25" s="1088" customFormat="1" ht="48">
      <c r="B61" s="1092"/>
      <c r="C61" s="1084" t="s">
        <v>34</v>
      </c>
      <c r="D61" s="1203">
        <v>9</v>
      </c>
      <c r="E61" s="1099" t="s">
        <v>40</v>
      </c>
      <c r="F61" s="1232"/>
      <c r="G61" s="1232"/>
      <c r="H61" s="1240"/>
      <c r="I61" s="1239"/>
      <c r="J61" s="1239"/>
      <c r="K61" s="1239"/>
      <c r="L61" s="1239"/>
      <c r="M61" s="1232"/>
      <c r="N61" s="1240"/>
      <c r="O61" s="1240"/>
      <c r="P61" s="1240"/>
      <c r="Q61" s="1240"/>
      <c r="R61" s="1240"/>
      <c r="S61" s="1240"/>
      <c r="T61" s="1240"/>
      <c r="U61" s="1240"/>
      <c r="V61" s="1240"/>
      <c r="W61" s="1240"/>
      <c r="X61" s="1240"/>
      <c r="Y61" s="1240"/>
    </row>
    <row r="62" spans="1:25" s="1088" customFormat="1" ht="84">
      <c r="B62" s="1092"/>
      <c r="C62" s="1084" t="s">
        <v>34</v>
      </c>
      <c r="D62" s="1203">
        <v>10</v>
      </c>
      <c r="E62" s="1100" t="s">
        <v>628</v>
      </c>
      <c r="F62" s="1232"/>
      <c r="G62" s="1232"/>
      <c r="H62" s="1240"/>
      <c r="I62" s="1239"/>
      <c r="J62" s="1239"/>
      <c r="K62" s="1239"/>
      <c r="L62" s="1239"/>
      <c r="M62" s="1232"/>
      <c r="N62" s="1240"/>
      <c r="O62" s="1240"/>
      <c r="P62" s="1240"/>
      <c r="Q62" s="1240"/>
      <c r="R62" s="1240"/>
      <c r="S62" s="1240"/>
      <c r="T62" s="1240"/>
      <c r="U62" s="1240"/>
      <c r="V62" s="1240"/>
      <c r="W62" s="1240"/>
      <c r="X62" s="1240"/>
      <c r="Y62" s="1240"/>
    </row>
    <row r="63" spans="1:25" s="1088" customFormat="1" ht="60">
      <c r="B63" s="1092"/>
      <c r="C63" s="1084" t="s">
        <v>34</v>
      </c>
      <c r="D63" s="1203">
        <v>11</v>
      </c>
      <c r="E63" s="1099" t="s">
        <v>42</v>
      </c>
      <c r="F63" s="1232"/>
      <c r="G63" s="1232"/>
      <c r="H63" s="1240"/>
      <c r="I63" s="1239"/>
      <c r="J63" s="1239"/>
      <c r="K63" s="1239"/>
      <c r="L63" s="1239"/>
      <c r="M63" s="1232"/>
      <c r="N63" s="1240"/>
      <c r="O63" s="1240"/>
      <c r="P63" s="1240"/>
      <c r="Q63" s="1240"/>
      <c r="R63" s="1240"/>
      <c r="S63" s="1240"/>
      <c r="T63" s="1240"/>
      <c r="U63" s="1240"/>
      <c r="V63" s="1240"/>
      <c r="W63" s="1240"/>
      <c r="X63" s="1240"/>
      <c r="Y63" s="1240"/>
    </row>
    <row r="64" spans="1:25" s="1088" customFormat="1" ht="24">
      <c r="B64" s="1092"/>
      <c r="C64" s="1084" t="s">
        <v>34</v>
      </c>
      <c r="D64" s="1203">
        <v>12</v>
      </c>
      <c r="E64" s="1097" t="s">
        <v>43</v>
      </c>
      <c r="F64" s="1232">
        <f t="shared" si="11"/>
        <v>1200</v>
      </c>
      <c r="G64" s="1232">
        <f t="shared" si="12"/>
        <v>0</v>
      </c>
      <c r="H64" s="1240"/>
      <c r="I64" s="1239"/>
      <c r="J64" s="1239"/>
      <c r="K64" s="1239"/>
      <c r="L64" s="1239"/>
      <c r="M64" s="1232">
        <f t="shared" si="14"/>
        <v>1200</v>
      </c>
      <c r="N64" s="1240"/>
      <c r="O64" s="1240">
        <v>1200</v>
      </c>
      <c r="P64" s="1240"/>
      <c r="Q64" s="1240"/>
      <c r="R64" s="1240"/>
      <c r="S64" s="1240"/>
      <c r="T64" s="1240"/>
      <c r="U64" s="1240"/>
      <c r="V64" s="1240"/>
      <c r="W64" s="1240"/>
      <c r="X64" s="1240"/>
      <c r="Y64" s="1240"/>
    </row>
    <row r="65" spans="1:25" s="1088" customFormat="1" ht="36">
      <c r="B65" s="1092"/>
      <c r="C65" s="1084" t="s">
        <v>34</v>
      </c>
      <c r="D65" s="1203">
        <v>13</v>
      </c>
      <c r="E65" s="1101" t="s">
        <v>629</v>
      </c>
      <c r="F65" s="1232"/>
      <c r="G65" s="1232"/>
      <c r="H65" s="1240"/>
      <c r="I65" s="1239"/>
      <c r="J65" s="1239"/>
      <c r="K65" s="1239"/>
      <c r="L65" s="1239"/>
      <c r="M65" s="1232"/>
      <c r="N65" s="1240"/>
      <c r="O65" s="1240"/>
      <c r="P65" s="1240"/>
      <c r="Q65" s="1240"/>
      <c r="R65" s="1240"/>
      <c r="S65" s="1240"/>
      <c r="T65" s="1240"/>
      <c r="U65" s="1240"/>
      <c r="V65" s="1240"/>
      <c r="W65" s="1240"/>
      <c r="X65" s="1240"/>
      <c r="Y65" s="1240"/>
    </row>
    <row r="66" spans="1:25" s="1088" customFormat="1" ht="36">
      <c r="B66" s="1092"/>
      <c r="C66" s="1084" t="s">
        <v>34</v>
      </c>
      <c r="D66" s="1203">
        <v>14</v>
      </c>
      <c r="E66" s="1287" t="s">
        <v>630</v>
      </c>
      <c r="F66" s="1232">
        <f t="shared" si="11"/>
        <v>8060</v>
      </c>
      <c r="G66" s="1232">
        <f t="shared" si="12"/>
        <v>0</v>
      </c>
      <c r="H66" s="1240"/>
      <c r="I66" s="1239"/>
      <c r="J66" s="1239"/>
      <c r="K66" s="1239"/>
      <c r="L66" s="1239"/>
      <c r="M66" s="1232">
        <f t="shared" si="14"/>
        <v>8060</v>
      </c>
      <c r="N66" s="1240">
        <v>558</v>
      </c>
      <c r="O66" s="1240">
        <v>62</v>
      </c>
      <c r="P66" s="1240"/>
      <c r="Q66" s="1240"/>
      <c r="R66" s="1240"/>
      <c r="S66" s="1240"/>
      <c r="T66" s="1240"/>
      <c r="U66" s="1240"/>
      <c r="V66" s="1240">
        <v>7440</v>
      </c>
      <c r="W66" s="1240"/>
      <c r="X66" s="1240"/>
      <c r="Y66" s="1240"/>
    </row>
    <row r="67" spans="1:25" s="1088" customFormat="1" ht="36">
      <c r="B67" s="1092"/>
      <c r="C67" s="1084" t="s">
        <v>34</v>
      </c>
      <c r="D67" s="1203">
        <v>15</v>
      </c>
      <c r="E67" s="1102" t="s">
        <v>46</v>
      </c>
      <c r="F67" s="1232">
        <f t="shared" si="11"/>
        <v>101200</v>
      </c>
      <c r="G67" s="1232">
        <f t="shared" si="12"/>
        <v>0</v>
      </c>
      <c r="H67" s="1240"/>
      <c r="I67" s="1239"/>
      <c r="J67" s="1239"/>
      <c r="K67" s="1239"/>
      <c r="L67" s="1239"/>
      <c r="M67" s="1232">
        <f t="shared" si="14"/>
        <v>101200</v>
      </c>
      <c r="N67" s="1240"/>
      <c r="O67" s="1240">
        <v>1200</v>
      </c>
      <c r="P67" s="1240"/>
      <c r="Q67" s="1240"/>
      <c r="R67" s="1240">
        <v>100000</v>
      </c>
      <c r="S67" s="1240"/>
      <c r="T67" s="1240"/>
      <c r="U67" s="1240"/>
      <c r="V67" s="1240"/>
      <c r="W67" s="1240"/>
      <c r="X67" s="1240"/>
      <c r="Y67" s="1240"/>
    </row>
    <row r="68" spans="1:25" s="1088" customFormat="1" ht="24">
      <c r="B68" s="1092"/>
      <c r="C68" s="1084" t="s">
        <v>34</v>
      </c>
      <c r="D68" s="1203">
        <v>16</v>
      </c>
      <c r="E68" s="1103" t="s">
        <v>648</v>
      </c>
      <c r="F68" s="1232"/>
      <c r="G68" s="1232"/>
      <c r="H68" s="1240"/>
      <c r="I68" s="1239"/>
      <c r="J68" s="1239"/>
      <c r="K68" s="1239"/>
      <c r="L68" s="1239"/>
      <c r="M68" s="1232"/>
      <c r="N68" s="1240"/>
      <c r="O68" s="1240"/>
      <c r="P68" s="1240"/>
      <c r="Q68" s="1240"/>
      <c r="R68" s="1240"/>
      <c r="S68" s="1240"/>
      <c r="T68" s="1240"/>
      <c r="U68" s="1240"/>
      <c r="V68" s="1240"/>
      <c r="W68" s="1240"/>
      <c r="X68" s="1240"/>
      <c r="Y68" s="1240"/>
    </row>
    <row r="69" spans="1:25" s="1088" customFormat="1" ht="24">
      <c r="B69" s="1092"/>
      <c r="C69" s="1084" t="s">
        <v>34</v>
      </c>
      <c r="D69" s="1203">
        <v>17</v>
      </c>
      <c r="E69" s="1104" t="s">
        <v>48</v>
      </c>
      <c r="F69" s="1232"/>
      <c r="G69" s="1232"/>
      <c r="H69" s="1240"/>
      <c r="I69" s="1239"/>
      <c r="J69" s="1239"/>
      <c r="K69" s="1239"/>
      <c r="L69" s="1239"/>
      <c r="M69" s="1232"/>
      <c r="N69" s="1240"/>
      <c r="O69" s="1240"/>
      <c r="P69" s="1240"/>
      <c r="Q69" s="1240"/>
      <c r="R69" s="1240"/>
      <c r="S69" s="1240"/>
      <c r="T69" s="1240"/>
      <c r="U69" s="1240"/>
      <c r="V69" s="1240"/>
      <c r="W69" s="1240"/>
      <c r="X69" s="1240"/>
      <c r="Y69" s="1240"/>
    </row>
    <row r="70" spans="1:25" s="1088" customFormat="1" ht="36">
      <c r="B70" s="1092"/>
      <c r="C70" s="1084" t="s">
        <v>34</v>
      </c>
      <c r="D70" s="1203">
        <v>18</v>
      </c>
      <c r="E70" s="1104" t="s">
        <v>49</v>
      </c>
      <c r="F70" s="1232">
        <f t="shared" si="11"/>
        <v>21245</v>
      </c>
      <c r="G70" s="1232">
        <f t="shared" si="12"/>
        <v>5000</v>
      </c>
      <c r="H70" s="1240">
        <v>5000</v>
      </c>
      <c r="I70" s="1239"/>
      <c r="J70" s="1239"/>
      <c r="K70" s="1239"/>
      <c r="L70" s="1239"/>
      <c r="M70" s="1232">
        <f t="shared" si="14"/>
        <v>16245</v>
      </c>
      <c r="N70" s="1240"/>
      <c r="O70" s="1240">
        <v>3300</v>
      </c>
      <c r="P70" s="1240">
        <v>2225</v>
      </c>
      <c r="Q70" s="1240"/>
      <c r="R70" s="1240"/>
      <c r="S70" s="1240"/>
      <c r="T70" s="1240"/>
      <c r="U70" s="1240">
        <v>1720</v>
      </c>
      <c r="V70" s="1240"/>
      <c r="W70" s="1240">
        <v>9000</v>
      </c>
      <c r="X70" s="1240"/>
      <c r="Y70" s="1240"/>
    </row>
    <row r="71" spans="1:25" s="1088" customFormat="1" ht="36">
      <c r="B71" s="1092"/>
      <c r="C71" s="1084" t="s">
        <v>34</v>
      </c>
      <c r="D71" s="1203">
        <v>19</v>
      </c>
      <c r="E71" s="1105" t="s">
        <v>209</v>
      </c>
      <c r="F71" s="1232">
        <f t="shared" si="11"/>
        <v>31200</v>
      </c>
      <c r="G71" s="1232">
        <f t="shared" si="12"/>
        <v>0</v>
      </c>
      <c r="H71" s="1240"/>
      <c r="I71" s="1239"/>
      <c r="J71" s="1239"/>
      <c r="K71" s="1239"/>
      <c r="L71" s="1239"/>
      <c r="M71" s="1232">
        <f t="shared" si="14"/>
        <v>31200</v>
      </c>
      <c r="N71" s="1240"/>
      <c r="O71" s="1240">
        <v>1200</v>
      </c>
      <c r="P71" s="1240"/>
      <c r="Q71" s="1240"/>
      <c r="R71" s="1240">
        <v>30000</v>
      </c>
      <c r="S71" s="1240"/>
      <c r="T71" s="1240"/>
      <c r="U71" s="1240"/>
      <c r="V71" s="1240"/>
      <c r="W71" s="1240"/>
      <c r="X71" s="1240"/>
      <c r="Y71" s="1240"/>
    </row>
    <row r="72" spans="1:25" s="1088" customFormat="1">
      <c r="B72" s="1092"/>
      <c r="C72" s="1084" t="s">
        <v>34</v>
      </c>
      <c r="D72" s="1203">
        <v>20</v>
      </c>
      <c r="E72" s="1106" t="s">
        <v>307</v>
      </c>
      <c r="F72" s="1232"/>
      <c r="G72" s="1232"/>
      <c r="H72" s="1240"/>
      <c r="I72" s="1239"/>
      <c r="J72" s="1239"/>
      <c r="K72" s="1239"/>
      <c r="L72" s="1239"/>
      <c r="M72" s="1232"/>
      <c r="N72" s="1240"/>
      <c r="O72" s="1240"/>
      <c r="P72" s="1240"/>
      <c r="Q72" s="1240"/>
      <c r="R72" s="1240"/>
      <c r="S72" s="1240"/>
      <c r="T72" s="1240"/>
      <c r="U72" s="1240"/>
      <c r="V72" s="1240"/>
      <c r="W72" s="1240"/>
      <c r="X72" s="1240"/>
      <c r="Y72" s="1240"/>
    </row>
    <row r="73" spans="1:25" s="1088" customFormat="1">
      <c r="B73" s="1092"/>
      <c r="C73" s="1084" t="s">
        <v>34</v>
      </c>
      <c r="D73" s="1203">
        <v>21</v>
      </c>
      <c r="E73" s="1106" t="s">
        <v>210</v>
      </c>
      <c r="F73" s="1232"/>
      <c r="G73" s="1232"/>
      <c r="H73" s="1240"/>
      <c r="I73" s="1239"/>
      <c r="J73" s="1239"/>
      <c r="K73" s="1239"/>
      <c r="L73" s="1239"/>
      <c r="M73" s="1232"/>
      <c r="N73" s="1240"/>
      <c r="O73" s="1240"/>
      <c r="P73" s="1240"/>
      <c r="Q73" s="1240"/>
      <c r="R73" s="1240"/>
      <c r="S73" s="1240"/>
      <c r="T73" s="1240"/>
      <c r="U73" s="1240"/>
      <c r="V73" s="1240"/>
      <c r="W73" s="1240"/>
      <c r="X73" s="1240"/>
      <c r="Y73" s="1240"/>
    </row>
    <row r="74" spans="1:25" s="1088" customFormat="1">
      <c r="B74" s="1092"/>
      <c r="C74" s="1084" t="s">
        <v>34</v>
      </c>
      <c r="D74" s="1203">
        <v>22</v>
      </c>
      <c r="E74" s="1085" t="s">
        <v>290</v>
      </c>
      <c r="F74" s="1232">
        <f t="shared" ref="F74:F133" si="23">G74+M74</f>
        <v>35911</v>
      </c>
      <c r="G74" s="1232">
        <f t="shared" ref="G74:G133" si="24">SUM(H74:L74)</f>
        <v>35000</v>
      </c>
      <c r="H74" s="1240">
        <v>35000</v>
      </c>
      <c r="I74" s="1239"/>
      <c r="J74" s="1239"/>
      <c r="K74" s="1239"/>
      <c r="L74" s="1239"/>
      <c r="M74" s="1232">
        <f t="shared" ref="M74:M133" si="25">SUM(N74:Y74)</f>
        <v>911</v>
      </c>
      <c r="N74" s="1240">
        <v>911</v>
      </c>
      <c r="O74" s="1240"/>
      <c r="P74" s="1240"/>
      <c r="Q74" s="1240"/>
      <c r="R74" s="1240"/>
      <c r="S74" s="1240"/>
      <c r="T74" s="1240"/>
      <c r="U74" s="1240"/>
      <c r="V74" s="1240"/>
      <c r="W74" s="1240"/>
      <c r="X74" s="1240"/>
      <c r="Y74" s="1240"/>
    </row>
    <row r="75" spans="1:25" s="1088" customFormat="1">
      <c r="B75" s="1092"/>
      <c r="C75" s="1084" t="s">
        <v>34</v>
      </c>
      <c r="D75" s="1203">
        <v>23</v>
      </c>
      <c r="E75" s="1085" t="s">
        <v>292</v>
      </c>
      <c r="F75" s="1232">
        <f t="shared" si="23"/>
        <v>813734</v>
      </c>
      <c r="G75" s="1232">
        <f t="shared" si="24"/>
        <v>400000</v>
      </c>
      <c r="H75" s="1240">
        <v>400000</v>
      </c>
      <c r="I75" s="1239"/>
      <c r="J75" s="1239"/>
      <c r="K75" s="1239"/>
      <c r="L75" s="1239"/>
      <c r="M75" s="1232">
        <f t="shared" si="25"/>
        <v>413734</v>
      </c>
      <c r="N75" s="1240">
        <v>413734</v>
      </c>
      <c r="O75" s="1240"/>
      <c r="P75" s="1240"/>
      <c r="Q75" s="1240"/>
      <c r="R75" s="1238"/>
      <c r="S75" s="1240"/>
      <c r="T75" s="1240"/>
      <c r="U75" s="1240"/>
      <c r="V75" s="1240"/>
      <c r="W75" s="1240"/>
      <c r="X75" s="1240"/>
      <c r="Y75" s="1240"/>
    </row>
    <row r="76" spans="1:25" s="1088" customFormat="1">
      <c r="B76" s="1092"/>
      <c r="C76" s="1084" t="s">
        <v>34</v>
      </c>
      <c r="D76" s="1203">
        <v>24</v>
      </c>
      <c r="E76" s="1085" t="s">
        <v>291</v>
      </c>
      <c r="F76" s="1232">
        <f t="shared" si="23"/>
        <v>36829.345999999998</v>
      </c>
      <c r="G76" s="1232">
        <f t="shared" si="24"/>
        <v>0</v>
      </c>
      <c r="H76" s="1240"/>
      <c r="I76" s="1239"/>
      <c r="J76" s="1239"/>
      <c r="K76" s="1239"/>
      <c r="L76" s="1239"/>
      <c r="M76" s="1232">
        <f t="shared" si="25"/>
        <v>36829.345999999998</v>
      </c>
      <c r="N76" s="1240">
        <v>24123</v>
      </c>
      <c r="O76" s="1240">
        <v>500</v>
      </c>
      <c r="P76" s="1240"/>
      <c r="Q76" s="1240">
        <v>2000</v>
      </c>
      <c r="R76" s="1238"/>
      <c r="S76" s="1240"/>
      <c r="T76" s="1240">
        <v>4356.3459999999995</v>
      </c>
      <c r="U76" s="1240"/>
      <c r="V76" s="1240">
        <v>2000</v>
      </c>
      <c r="W76" s="1240">
        <v>3000</v>
      </c>
      <c r="X76" s="1240"/>
      <c r="Y76" s="1240">
        <v>850</v>
      </c>
    </row>
    <row r="77" spans="1:25" s="1078" customFormat="1" ht="24">
      <c r="A77" s="1078" t="s">
        <v>807</v>
      </c>
      <c r="B77" s="1107" t="s">
        <v>252</v>
      </c>
      <c r="C77" s="1080" t="s">
        <v>34</v>
      </c>
      <c r="D77" s="1431"/>
      <c r="E77" s="1290" t="s">
        <v>19</v>
      </c>
      <c r="F77" s="1235">
        <f t="shared" si="23"/>
        <v>325582</v>
      </c>
      <c r="G77" s="1235">
        <f t="shared" si="24"/>
        <v>235200</v>
      </c>
      <c r="H77" s="1236">
        <f>SUM(H78:H95)</f>
        <v>235200</v>
      </c>
      <c r="I77" s="1237">
        <f t="shared" ref="I77:Y77" si="26">SUM(I78:I95)</f>
        <v>0</v>
      </c>
      <c r="J77" s="1237">
        <f t="shared" si="26"/>
        <v>0</v>
      </c>
      <c r="K77" s="1237">
        <f t="shared" si="26"/>
        <v>0</v>
      </c>
      <c r="L77" s="1237">
        <f t="shared" si="26"/>
        <v>0</v>
      </c>
      <c r="M77" s="1235">
        <f t="shared" si="25"/>
        <v>90382</v>
      </c>
      <c r="N77" s="1236">
        <f t="shared" si="26"/>
        <v>17000</v>
      </c>
      <c r="O77" s="1236">
        <f t="shared" si="26"/>
        <v>2500</v>
      </c>
      <c r="P77" s="1236">
        <f t="shared" si="26"/>
        <v>6220</v>
      </c>
      <c r="Q77" s="1236">
        <f t="shared" si="26"/>
        <v>23000</v>
      </c>
      <c r="R77" s="1236">
        <f t="shared" si="26"/>
        <v>4380</v>
      </c>
      <c r="S77" s="1236">
        <f t="shared" si="26"/>
        <v>1120</v>
      </c>
      <c r="T77" s="1236">
        <f t="shared" si="26"/>
        <v>8100</v>
      </c>
      <c r="U77" s="1236">
        <f t="shared" si="26"/>
        <v>7452</v>
      </c>
      <c r="V77" s="1236">
        <f t="shared" si="26"/>
        <v>12700</v>
      </c>
      <c r="W77" s="1236">
        <f t="shared" si="26"/>
        <v>3100</v>
      </c>
      <c r="X77" s="1236">
        <f t="shared" si="26"/>
        <v>2160</v>
      </c>
      <c r="Y77" s="1236">
        <f t="shared" si="26"/>
        <v>2650</v>
      </c>
    </row>
    <row r="78" spans="1:25" s="1078" customFormat="1" ht="24" customHeight="1">
      <c r="B78" s="1108"/>
      <c r="C78" s="1091" t="s">
        <v>34</v>
      </c>
      <c r="D78" s="1432">
        <v>1</v>
      </c>
      <c r="E78" s="1105" t="s">
        <v>211</v>
      </c>
      <c r="F78" s="1232">
        <f t="shared" si="23"/>
        <v>73040</v>
      </c>
      <c r="G78" s="1232">
        <f t="shared" si="24"/>
        <v>4200</v>
      </c>
      <c r="H78" s="1238">
        <v>4200</v>
      </c>
      <c r="I78" s="1239"/>
      <c r="J78" s="1239"/>
      <c r="K78" s="1239"/>
      <c r="L78" s="1239"/>
      <c r="M78" s="1232">
        <f t="shared" si="25"/>
        <v>68840</v>
      </c>
      <c r="N78" s="1238">
        <v>17000</v>
      </c>
      <c r="O78" s="1238">
        <v>2500</v>
      </c>
      <c r="P78" s="1238">
        <v>1220</v>
      </c>
      <c r="Q78" s="1238">
        <v>18000</v>
      </c>
      <c r="R78" s="1238">
        <v>1880</v>
      </c>
      <c r="S78" s="1238">
        <v>1120</v>
      </c>
      <c r="T78" s="1238">
        <v>4100</v>
      </c>
      <c r="U78" s="1238">
        <v>2660</v>
      </c>
      <c r="V78" s="1238">
        <v>12450</v>
      </c>
      <c r="W78" s="1238">
        <v>3100</v>
      </c>
      <c r="X78" s="1238">
        <v>2160</v>
      </c>
      <c r="Y78" s="1238">
        <v>2650</v>
      </c>
    </row>
    <row r="79" spans="1:25" s="1088" customFormat="1" ht="36">
      <c r="B79" s="1108"/>
      <c r="C79" s="1091" t="s">
        <v>34</v>
      </c>
      <c r="D79" s="1432">
        <v>2</v>
      </c>
      <c r="E79" s="1096" t="s">
        <v>649</v>
      </c>
      <c r="F79" s="1232"/>
      <c r="G79" s="1232"/>
      <c r="H79" s="1238"/>
      <c r="I79" s="1239"/>
      <c r="J79" s="1239"/>
      <c r="K79" s="1239"/>
      <c r="L79" s="1239"/>
      <c r="M79" s="1232"/>
      <c r="N79" s="1238"/>
      <c r="O79" s="1238"/>
      <c r="P79" s="1238"/>
      <c r="Q79" s="1238"/>
      <c r="R79" s="1238"/>
      <c r="S79" s="1238"/>
      <c r="T79" s="1238"/>
      <c r="U79" s="1238"/>
      <c r="V79" s="1238"/>
      <c r="W79" s="1238"/>
      <c r="X79" s="1238"/>
      <c r="Y79" s="1238"/>
    </row>
    <row r="80" spans="1:25" s="1088" customFormat="1" ht="24">
      <c r="B80" s="1108"/>
      <c r="C80" s="1091" t="s">
        <v>34</v>
      </c>
      <c r="D80" s="1432">
        <v>3</v>
      </c>
      <c r="E80" s="1109" t="s">
        <v>650</v>
      </c>
      <c r="F80" s="1232"/>
      <c r="G80" s="1232"/>
      <c r="H80" s="1244"/>
      <c r="I80" s="1239"/>
      <c r="J80" s="1239"/>
      <c r="K80" s="1239"/>
      <c r="L80" s="1239"/>
      <c r="M80" s="1232"/>
      <c r="N80" s="1240"/>
      <c r="O80" s="1238"/>
      <c r="P80" s="1244"/>
      <c r="Q80" s="1244"/>
      <c r="R80" s="1244"/>
      <c r="S80" s="1244"/>
      <c r="T80" s="1244"/>
      <c r="U80" s="1244"/>
      <c r="V80" s="1244"/>
      <c r="W80" s="1244"/>
      <c r="X80" s="1244"/>
      <c r="Y80" s="1244"/>
    </row>
    <row r="81" spans="1:25" ht="36">
      <c r="B81" s="1108"/>
      <c r="C81" s="1091" t="s">
        <v>34</v>
      </c>
      <c r="D81" s="1432">
        <v>4</v>
      </c>
      <c r="E81" s="1110" t="s">
        <v>50</v>
      </c>
      <c r="F81" s="1232"/>
      <c r="G81" s="1232"/>
      <c r="H81" s="1244"/>
      <c r="I81" s="1239"/>
      <c r="J81" s="1239"/>
      <c r="K81" s="1239"/>
      <c r="L81" s="1239"/>
      <c r="M81" s="1232"/>
      <c r="N81" s="1240"/>
      <c r="O81" s="1238"/>
      <c r="P81" s="1244"/>
      <c r="Q81" s="1244"/>
      <c r="R81" s="1244"/>
      <c r="S81" s="1244"/>
      <c r="T81" s="1244"/>
      <c r="U81" s="1244"/>
      <c r="V81" s="1244"/>
      <c r="W81" s="1244"/>
      <c r="X81" s="1244"/>
      <c r="Y81" s="1244"/>
    </row>
    <row r="82" spans="1:25" ht="60">
      <c r="B82" s="1108"/>
      <c r="C82" s="1091" t="s">
        <v>34</v>
      </c>
      <c r="D82" s="1432">
        <v>5</v>
      </c>
      <c r="E82" s="1110" t="s">
        <v>393</v>
      </c>
      <c r="F82" s="1232"/>
      <c r="G82" s="1232"/>
      <c r="H82" s="1244"/>
      <c r="I82" s="1239"/>
      <c r="J82" s="1239"/>
      <c r="K82" s="1239"/>
      <c r="L82" s="1239"/>
      <c r="M82" s="1232"/>
      <c r="N82" s="1240"/>
      <c r="O82" s="1238"/>
      <c r="P82" s="1244"/>
      <c r="Q82" s="1244"/>
      <c r="R82" s="1244"/>
      <c r="S82" s="1244"/>
      <c r="T82" s="1244"/>
      <c r="U82" s="1244"/>
      <c r="V82" s="1244"/>
      <c r="W82" s="1244"/>
      <c r="X82" s="1244"/>
      <c r="Y82" s="1244"/>
    </row>
    <row r="83" spans="1:25" ht="60">
      <c r="B83" s="1108"/>
      <c r="C83" s="1091" t="s">
        <v>34</v>
      </c>
      <c r="D83" s="1432">
        <v>6</v>
      </c>
      <c r="E83" s="1103" t="s">
        <v>651</v>
      </c>
      <c r="F83" s="1232"/>
      <c r="G83" s="1232"/>
      <c r="H83" s="1244"/>
      <c r="I83" s="1239"/>
      <c r="J83" s="1239"/>
      <c r="K83" s="1239"/>
      <c r="L83" s="1239"/>
      <c r="M83" s="1232"/>
      <c r="N83" s="1240"/>
      <c r="O83" s="1238"/>
      <c r="P83" s="1244"/>
      <c r="Q83" s="1244"/>
      <c r="R83" s="1244"/>
      <c r="S83" s="1244"/>
      <c r="T83" s="1244"/>
      <c r="U83" s="1244"/>
      <c r="V83" s="1244"/>
      <c r="W83" s="1244"/>
      <c r="X83" s="1244"/>
      <c r="Y83" s="1244"/>
    </row>
    <row r="84" spans="1:25" ht="60">
      <c r="B84" s="1108"/>
      <c r="C84" s="1091" t="s">
        <v>34</v>
      </c>
      <c r="D84" s="1432">
        <v>7</v>
      </c>
      <c r="E84" s="1110" t="s">
        <v>652</v>
      </c>
      <c r="F84" s="1232"/>
      <c r="G84" s="1232"/>
      <c r="H84" s="1244"/>
      <c r="I84" s="1239"/>
      <c r="J84" s="1239"/>
      <c r="K84" s="1239"/>
      <c r="L84" s="1239"/>
      <c r="M84" s="1232"/>
      <c r="N84" s="1251"/>
      <c r="O84" s="1238"/>
      <c r="P84" s="1252"/>
      <c r="Q84" s="1252"/>
      <c r="R84" s="1244"/>
      <c r="S84" s="1252"/>
      <c r="T84" s="1244"/>
      <c r="U84" s="1252"/>
      <c r="V84" s="1244"/>
      <c r="W84" s="1252"/>
      <c r="X84" s="1252"/>
      <c r="Y84" s="1244"/>
    </row>
    <row r="85" spans="1:25" ht="24">
      <c r="B85" s="1108"/>
      <c r="C85" s="1091" t="s">
        <v>34</v>
      </c>
      <c r="D85" s="1432">
        <v>8</v>
      </c>
      <c r="E85" s="1110" t="s">
        <v>395</v>
      </c>
      <c r="F85" s="1232"/>
      <c r="G85" s="1232"/>
      <c r="H85" s="1244"/>
      <c r="I85" s="1239"/>
      <c r="J85" s="1239"/>
      <c r="K85" s="1239"/>
      <c r="L85" s="1239"/>
      <c r="M85" s="1232"/>
      <c r="N85" s="1251"/>
      <c r="O85" s="1238"/>
      <c r="P85" s="1252"/>
      <c r="Q85" s="1252"/>
      <c r="R85" s="1244"/>
      <c r="S85" s="1252"/>
      <c r="T85" s="1244"/>
      <c r="U85" s="1252"/>
      <c r="V85" s="1244"/>
      <c r="W85" s="1252"/>
      <c r="X85" s="1252"/>
      <c r="Y85" s="1244"/>
    </row>
    <row r="86" spans="1:25" ht="60">
      <c r="B86" s="1108"/>
      <c r="C86" s="1091" t="s">
        <v>34</v>
      </c>
      <c r="D86" s="1432">
        <v>9</v>
      </c>
      <c r="E86" s="1110" t="s">
        <v>52</v>
      </c>
      <c r="F86" s="1232"/>
      <c r="G86" s="1232"/>
      <c r="H86" s="1244"/>
      <c r="I86" s="1239"/>
      <c r="J86" s="1239"/>
      <c r="K86" s="1239"/>
      <c r="L86" s="1239"/>
      <c r="M86" s="1232"/>
      <c r="N86" s="1240"/>
      <c r="O86" s="1238"/>
      <c r="P86" s="1244"/>
      <c r="Q86" s="1244"/>
      <c r="R86" s="1244"/>
      <c r="S86" s="1244"/>
      <c r="T86" s="1244"/>
      <c r="U86" s="1244"/>
      <c r="V86" s="1244"/>
      <c r="W86" s="1244"/>
      <c r="X86" s="1244"/>
      <c r="Y86" s="1244"/>
    </row>
    <row r="87" spans="1:25" ht="24">
      <c r="B87" s="1108"/>
      <c r="C87" s="1091" t="s">
        <v>34</v>
      </c>
      <c r="D87" s="1432">
        <v>10</v>
      </c>
      <c r="E87" s="1103" t="s">
        <v>396</v>
      </c>
      <c r="F87" s="1232"/>
      <c r="G87" s="1232"/>
      <c r="H87" s="1244"/>
      <c r="I87" s="1239"/>
      <c r="J87" s="1239"/>
      <c r="K87" s="1239"/>
      <c r="L87" s="1239"/>
      <c r="M87" s="1232"/>
      <c r="N87" s="1240"/>
      <c r="O87" s="1238"/>
      <c r="P87" s="1244"/>
      <c r="Q87" s="1244"/>
      <c r="R87" s="1244"/>
      <c r="S87" s="1244"/>
      <c r="T87" s="1244"/>
      <c r="U87" s="1244"/>
      <c r="V87" s="1244"/>
      <c r="W87" s="1244"/>
      <c r="X87" s="1244"/>
      <c r="Y87" s="1244"/>
    </row>
    <row r="88" spans="1:25" ht="36">
      <c r="B88" s="1108"/>
      <c r="C88" s="1091" t="s">
        <v>34</v>
      </c>
      <c r="D88" s="1432">
        <v>11</v>
      </c>
      <c r="E88" s="1110" t="s">
        <v>653</v>
      </c>
      <c r="F88" s="1232"/>
      <c r="G88" s="1232"/>
      <c r="H88" s="1244"/>
      <c r="I88" s="1239"/>
      <c r="J88" s="1239"/>
      <c r="K88" s="1239"/>
      <c r="L88" s="1239"/>
      <c r="M88" s="1232"/>
      <c r="N88" s="1240"/>
      <c r="O88" s="1238"/>
      <c r="P88" s="1244"/>
      <c r="Q88" s="1244"/>
      <c r="R88" s="1244"/>
      <c r="S88" s="1244"/>
      <c r="T88" s="1244"/>
      <c r="U88" s="1244"/>
      <c r="V88" s="1244"/>
      <c r="W88" s="1244"/>
      <c r="X88" s="1244"/>
      <c r="Y88" s="1244"/>
    </row>
    <row r="89" spans="1:25">
      <c r="B89" s="1108"/>
      <c r="C89" s="1091" t="s">
        <v>34</v>
      </c>
      <c r="D89" s="1432">
        <v>12</v>
      </c>
      <c r="E89" s="1110" t="s">
        <v>53</v>
      </c>
      <c r="F89" s="1232">
        <f t="shared" si="23"/>
        <v>17750</v>
      </c>
      <c r="G89" s="1232">
        <f t="shared" si="24"/>
        <v>1000</v>
      </c>
      <c r="H89" s="1244">
        <v>1000</v>
      </c>
      <c r="I89" s="1239"/>
      <c r="J89" s="1239"/>
      <c r="K89" s="1239"/>
      <c r="L89" s="1239"/>
      <c r="M89" s="1232">
        <f t="shared" si="25"/>
        <v>16750</v>
      </c>
      <c r="N89" s="1240"/>
      <c r="O89" s="1238"/>
      <c r="P89" s="1244">
        <v>5000</v>
      </c>
      <c r="Q89" s="1244">
        <v>5000</v>
      </c>
      <c r="R89" s="1244">
        <v>2500</v>
      </c>
      <c r="S89" s="1244"/>
      <c r="T89" s="1244">
        <v>4000</v>
      </c>
      <c r="U89" s="1244"/>
      <c r="V89" s="1244">
        <v>250</v>
      </c>
      <c r="W89" s="1244"/>
      <c r="X89" s="1244"/>
      <c r="Y89" s="1244"/>
    </row>
    <row r="90" spans="1:25" ht="36">
      <c r="B90" s="1108"/>
      <c r="C90" s="1091" t="s">
        <v>34</v>
      </c>
      <c r="D90" s="1432">
        <v>13</v>
      </c>
      <c r="E90" s="1103" t="s">
        <v>397</v>
      </c>
      <c r="F90" s="1232"/>
      <c r="G90" s="1232"/>
      <c r="H90" s="1244"/>
      <c r="I90" s="1239"/>
      <c r="J90" s="1239"/>
      <c r="K90" s="1239"/>
      <c r="L90" s="1239"/>
      <c r="M90" s="1232"/>
      <c r="N90" s="1240"/>
      <c r="O90" s="1238"/>
      <c r="P90" s="1244"/>
      <c r="Q90" s="1244"/>
      <c r="R90" s="1244"/>
      <c r="S90" s="1244"/>
      <c r="T90" s="1244"/>
      <c r="U90" s="1244"/>
      <c r="V90" s="1244"/>
      <c r="W90" s="1244"/>
      <c r="X90" s="1244"/>
      <c r="Y90" s="1244"/>
    </row>
    <row r="91" spans="1:25">
      <c r="B91" s="1108"/>
      <c r="C91" s="1091" t="s">
        <v>34</v>
      </c>
      <c r="D91" s="1432">
        <v>14</v>
      </c>
      <c r="E91" s="1087" t="s">
        <v>398</v>
      </c>
      <c r="F91" s="1232">
        <f t="shared" si="23"/>
        <v>20000</v>
      </c>
      <c r="G91" s="1232">
        <f t="shared" si="24"/>
        <v>20000</v>
      </c>
      <c r="H91" s="1244">
        <v>20000</v>
      </c>
      <c r="I91" s="1239"/>
      <c r="J91" s="1239"/>
      <c r="K91" s="1239"/>
      <c r="L91" s="1239"/>
      <c r="M91" s="1232">
        <f t="shared" si="25"/>
        <v>0</v>
      </c>
      <c r="N91" s="1240"/>
      <c r="O91" s="1238"/>
      <c r="P91" s="1244"/>
      <c r="Q91" s="1244"/>
      <c r="R91" s="1244"/>
      <c r="S91" s="1244"/>
      <c r="T91" s="1244"/>
      <c r="U91" s="1244"/>
      <c r="V91" s="1244"/>
      <c r="W91" s="1244"/>
      <c r="X91" s="1244"/>
      <c r="Y91" s="1244"/>
    </row>
    <row r="92" spans="1:25">
      <c r="B92" s="1108"/>
      <c r="C92" s="1091" t="s">
        <v>34</v>
      </c>
      <c r="D92" s="1432">
        <v>15</v>
      </c>
      <c r="E92" s="1087" t="s">
        <v>292</v>
      </c>
      <c r="F92" s="1232">
        <f t="shared" si="23"/>
        <v>60000</v>
      </c>
      <c r="G92" s="1232">
        <f t="shared" si="24"/>
        <v>60000</v>
      </c>
      <c r="H92" s="1244">
        <v>60000</v>
      </c>
      <c r="I92" s="1253"/>
      <c r="J92" s="1253"/>
      <c r="K92" s="1253"/>
      <c r="L92" s="1253"/>
      <c r="M92" s="1232">
        <f t="shared" si="25"/>
        <v>0</v>
      </c>
      <c r="N92" s="1244"/>
      <c r="O92" s="1254"/>
      <c r="P92" s="1244"/>
      <c r="Q92" s="1244"/>
      <c r="R92" s="1244"/>
      <c r="S92" s="1244"/>
      <c r="T92" s="1244"/>
      <c r="U92" s="1244"/>
      <c r="V92" s="1244"/>
      <c r="W92" s="1244"/>
      <c r="X92" s="1244"/>
      <c r="Y92" s="1244"/>
    </row>
    <row r="93" spans="1:25" ht="36">
      <c r="B93" s="1108"/>
      <c r="C93" s="1091" t="s">
        <v>34</v>
      </c>
      <c r="D93" s="1432">
        <v>16</v>
      </c>
      <c r="E93" s="1087" t="s">
        <v>399</v>
      </c>
      <c r="F93" s="1232">
        <f t="shared" si="23"/>
        <v>50000</v>
      </c>
      <c r="G93" s="1232">
        <f t="shared" si="24"/>
        <v>50000</v>
      </c>
      <c r="H93" s="1244">
        <v>50000</v>
      </c>
      <c r="I93" s="1253"/>
      <c r="J93" s="1253"/>
      <c r="K93" s="1253"/>
      <c r="L93" s="1253"/>
      <c r="M93" s="1232">
        <f t="shared" si="25"/>
        <v>0</v>
      </c>
      <c r="N93" s="1244"/>
      <c r="O93" s="1254"/>
      <c r="P93" s="1244"/>
      <c r="Q93" s="1244"/>
      <c r="R93" s="1244"/>
      <c r="S93" s="1244"/>
      <c r="T93" s="1244"/>
      <c r="U93" s="1244"/>
      <c r="V93" s="1244"/>
      <c r="W93" s="1244"/>
      <c r="X93" s="1244"/>
      <c r="Y93" s="1244"/>
    </row>
    <row r="94" spans="1:25" ht="24">
      <c r="B94" s="1108"/>
      <c r="C94" s="1091" t="s">
        <v>34</v>
      </c>
      <c r="D94" s="1432">
        <v>17</v>
      </c>
      <c r="E94" s="1087" t="s">
        <v>501</v>
      </c>
      <c r="F94" s="1232">
        <f t="shared" si="23"/>
        <v>54792</v>
      </c>
      <c r="G94" s="1232">
        <f t="shared" si="24"/>
        <v>50000</v>
      </c>
      <c r="H94" s="1244">
        <v>50000</v>
      </c>
      <c r="I94" s="1253"/>
      <c r="J94" s="1253"/>
      <c r="K94" s="1253"/>
      <c r="L94" s="1253"/>
      <c r="M94" s="1232">
        <f t="shared" si="25"/>
        <v>4792</v>
      </c>
      <c r="N94" s="1244"/>
      <c r="O94" s="1254"/>
      <c r="P94" s="1244"/>
      <c r="Q94" s="1244"/>
      <c r="R94" s="1244"/>
      <c r="S94" s="1244"/>
      <c r="T94" s="1244"/>
      <c r="U94" s="1244">
        <v>4792</v>
      </c>
      <c r="V94" s="1244"/>
      <c r="W94" s="1244"/>
      <c r="X94" s="1244"/>
      <c r="Y94" s="1244"/>
    </row>
    <row r="95" spans="1:25">
      <c r="B95" s="1108"/>
      <c r="C95" s="1091" t="s">
        <v>34</v>
      </c>
      <c r="D95" s="1432">
        <v>18</v>
      </c>
      <c r="E95" s="1087" t="s">
        <v>400</v>
      </c>
      <c r="F95" s="1232">
        <f t="shared" si="23"/>
        <v>50000</v>
      </c>
      <c r="G95" s="1232">
        <f t="shared" si="24"/>
        <v>50000</v>
      </c>
      <c r="H95" s="1244">
        <v>50000</v>
      </c>
      <c r="I95" s="1239"/>
      <c r="J95" s="1239"/>
      <c r="K95" s="1239"/>
      <c r="L95" s="1239"/>
      <c r="M95" s="1232">
        <f t="shared" si="25"/>
        <v>0</v>
      </c>
      <c r="N95" s="1240"/>
      <c r="O95" s="1238"/>
      <c r="P95" s="1238"/>
      <c r="Q95" s="1244"/>
      <c r="R95" s="1244"/>
      <c r="S95" s="1244"/>
      <c r="T95" s="1244"/>
      <c r="U95" s="1244"/>
      <c r="V95" s="1244"/>
      <c r="W95" s="1238"/>
      <c r="X95" s="1244"/>
      <c r="Y95" s="1238"/>
    </row>
    <row r="96" spans="1:25" s="1078" customFormat="1" ht="24">
      <c r="A96" s="1078" t="s">
        <v>808</v>
      </c>
      <c r="B96" s="1094" t="s">
        <v>253</v>
      </c>
      <c r="C96" s="1080" t="s">
        <v>34</v>
      </c>
      <c r="D96" s="1431"/>
      <c r="E96" s="1290" t="s">
        <v>20</v>
      </c>
      <c r="F96" s="1235">
        <f t="shared" si="23"/>
        <v>338548</v>
      </c>
      <c r="G96" s="1235">
        <f t="shared" si="24"/>
        <v>109780</v>
      </c>
      <c r="H96" s="1236">
        <f>SUM(H97:H116)</f>
        <v>109780</v>
      </c>
      <c r="I96" s="1237">
        <f t="shared" ref="I96:Y96" si="27">SUM(I97:I116)</f>
        <v>0</v>
      </c>
      <c r="J96" s="1237">
        <f t="shared" si="27"/>
        <v>0</v>
      </c>
      <c r="K96" s="1237">
        <f t="shared" si="27"/>
        <v>0</v>
      </c>
      <c r="L96" s="1237">
        <f t="shared" si="27"/>
        <v>0</v>
      </c>
      <c r="M96" s="1235">
        <f t="shared" si="25"/>
        <v>228768</v>
      </c>
      <c r="N96" s="1236">
        <f t="shared" si="27"/>
        <v>16683</v>
      </c>
      <c r="O96" s="1236">
        <f t="shared" si="27"/>
        <v>15978</v>
      </c>
      <c r="P96" s="1236">
        <f t="shared" si="27"/>
        <v>8259</v>
      </c>
      <c r="Q96" s="1236">
        <f t="shared" si="27"/>
        <v>21600</v>
      </c>
      <c r="R96" s="1236">
        <f t="shared" si="27"/>
        <v>14080</v>
      </c>
      <c r="S96" s="1236">
        <f t="shared" si="27"/>
        <v>12388</v>
      </c>
      <c r="T96" s="1236">
        <f t="shared" si="27"/>
        <v>19960</v>
      </c>
      <c r="U96" s="1236">
        <f t="shared" si="27"/>
        <v>33270</v>
      </c>
      <c r="V96" s="1236">
        <f t="shared" si="27"/>
        <v>37500</v>
      </c>
      <c r="W96" s="1236">
        <f t="shared" si="27"/>
        <v>5000</v>
      </c>
      <c r="X96" s="1236">
        <f t="shared" si="27"/>
        <v>16800</v>
      </c>
      <c r="Y96" s="1236">
        <f t="shared" si="27"/>
        <v>27250</v>
      </c>
    </row>
    <row r="97" spans="2:25">
      <c r="B97" s="1111"/>
      <c r="C97" s="1084" t="s">
        <v>34</v>
      </c>
      <c r="D97" s="1203">
        <v>1</v>
      </c>
      <c r="E97" s="1096" t="s">
        <v>631</v>
      </c>
      <c r="F97" s="1232"/>
      <c r="G97" s="1232"/>
      <c r="H97" s="1245"/>
      <c r="I97" s="1239"/>
      <c r="J97" s="1239"/>
      <c r="K97" s="1239"/>
      <c r="L97" s="1239"/>
      <c r="M97" s="1232"/>
      <c r="N97" s="1240"/>
      <c r="O97" s="1238"/>
      <c r="P97" s="1244"/>
      <c r="Q97" s="1244"/>
      <c r="R97" s="1244"/>
      <c r="S97" s="1244"/>
      <c r="T97" s="1244"/>
      <c r="U97" s="1244"/>
      <c r="V97" s="1244"/>
      <c r="W97" s="1244"/>
      <c r="X97" s="1244"/>
      <c r="Y97" s="1240"/>
    </row>
    <row r="98" spans="2:25" ht="24">
      <c r="B98" s="1111"/>
      <c r="C98" s="1084" t="s">
        <v>34</v>
      </c>
      <c r="D98" s="1203">
        <v>2</v>
      </c>
      <c r="E98" s="1096" t="s">
        <v>632</v>
      </c>
      <c r="F98" s="1232"/>
      <c r="G98" s="1232"/>
      <c r="H98" s="1245"/>
      <c r="I98" s="1239"/>
      <c r="J98" s="1239"/>
      <c r="K98" s="1239"/>
      <c r="L98" s="1239"/>
      <c r="M98" s="1232"/>
      <c r="N98" s="1240"/>
      <c r="O98" s="1254"/>
      <c r="P98" s="1244"/>
      <c r="Q98" s="1244"/>
      <c r="R98" s="1244"/>
      <c r="S98" s="1244"/>
      <c r="T98" s="1244"/>
      <c r="U98" s="1244"/>
      <c r="V98" s="1244"/>
      <c r="W98" s="1244"/>
      <c r="X98" s="1244"/>
      <c r="Y98" s="1240"/>
    </row>
    <row r="99" spans="2:25" ht="24">
      <c r="B99" s="1111"/>
      <c r="C99" s="1084" t="s">
        <v>34</v>
      </c>
      <c r="D99" s="1203">
        <v>3</v>
      </c>
      <c r="E99" s="1096" t="s">
        <v>633</v>
      </c>
      <c r="F99" s="1232"/>
      <c r="G99" s="1232"/>
      <c r="H99" s="1254"/>
      <c r="I99" s="1253"/>
      <c r="J99" s="1253"/>
      <c r="K99" s="1253"/>
      <c r="L99" s="1253"/>
      <c r="M99" s="1232"/>
      <c r="N99" s="1254"/>
      <c r="O99" s="1254"/>
      <c r="P99" s="1254"/>
      <c r="Q99" s="1254"/>
      <c r="R99" s="1254"/>
      <c r="S99" s="1254"/>
      <c r="T99" s="1254"/>
      <c r="U99" s="1254"/>
      <c r="V99" s="1254"/>
      <c r="W99" s="1254"/>
      <c r="X99" s="1254"/>
      <c r="Y99" s="1254"/>
    </row>
    <row r="100" spans="2:25">
      <c r="B100" s="1111"/>
      <c r="C100" s="1084" t="s">
        <v>34</v>
      </c>
      <c r="D100" s="1203">
        <v>4</v>
      </c>
      <c r="E100" s="1112" t="s">
        <v>59</v>
      </c>
      <c r="F100" s="1232"/>
      <c r="G100" s="1232"/>
      <c r="H100" s="1245"/>
      <c r="I100" s="1239"/>
      <c r="J100" s="1239"/>
      <c r="K100" s="1239"/>
      <c r="L100" s="1239"/>
      <c r="M100" s="1232"/>
      <c r="N100" s="1251"/>
      <c r="O100" s="1238"/>
      <c r="P100" s="1244"/>
      <c r="Q100" s="1244"/>
      <c r="R100" s="1244"/>
      <c r="S100" s="1244"/>
      <c r="T100" s="1244"/>
      <c r="U100" s="1244"/>
      <c r="V100" s="1244"/>
      <c r="W100" s="1244"/>
      <c r="X100" s="1244"/>
      <c r="Y100" s="1240"/>
    </row>
    <row r="101" spans="2:25">
      <c r="B101" s="1111"/>
      <c r="C101" s="1084" t="s">
        <v>34</v>
      </c>
      <c r="D101" s="1203">
        <v>5</v>
      </c>
      <c r="E101" s="1112" t="s">
        <v>60</v>
      </c>
      <c r="F101" s="1232">
        <f t="shared" si="23"/>
        <v>10000</v>
      </c>
      <c r="G101" s="1232">
        <f t="shared" si="24"/>
        <v>10000</v>
      </c>
      <c r="H101" s="1245">
        <v>10000</v>
      </c>
      <c r="I101" s="1239"/>
      <c r="J101" s="1239"/>
      <c r="K101" s="1239"/>
      <c r="L101" s="1239"/>
      <c r="M101" s="1232">
        <f t="shared" si="25"/>
        <v>0</v>
      </c>
      <c r="N101" s="1251"/>
      <c r="O101" s="1238">
        <v>0</v>
      </c>
      <c r="P101" s="1244"/>
      <c r="Q101" s="1244"/>
      <c r="R101" s="1244">
        <v>0</v>
      </c>
      <c r="S101" s="1244"/>
      <c r="T101" s="1244"/>
      <c r="U101" s="1244"/>
      <c r="V101" s="1244">
        <v>0</v>
      </c>
      <c r="W101" s="1244"/>
      <c r="X101" s="1244"/>
      <c r="Y101" s="1240">
        <v>0</v>
      </c>
    </row>
    <row r="102" spans="2:25">
      <c r="B102" s="1111"/>
      <c r="C102" s="1084" t="s">
        <v>34</v>
      </c>
      <c r="D102" s="1203">
        <v>6</v>
      </c>
      <c r="E102" s="1112" t="s">
        <v>61</v>
      </c>
      <c r="F102" s="1232"/>
      <c r="G102" s="1232"/>
      <c r="H102" s="1245"/>
      <c r="I102" s="1239"/>
      <c r="J102" s="1239"/>
      <c r="K102" s="1239"/>
      <c r="L102" s="1239"/>
      <c r="M102" s="1232"/>
      <c r="N102" s="1251"/>
      <c r="O102" s="1238"/>
      <c r="P102" s="1252"/>
      <c r="Q102" s="1252"/>
      <c r="R102" s="1252"/>
      <c r="S102" s="1252"/>
      <c r="T102" s="1252"/>
      <c r="U102" s="1252"/>
      <c r="V102" s="1244"/>
      <c r="W102" s="1252"/>
      <c r="X102" s="1252"/>
      <c r="Y102" s="1251"/>
    </row>
    <row r="103" spans="2:25">
      <c r="B103" s="1111"/>
      <c r="C103" s="1084" t="s">
        <v>34</v>
      </c>
      <c r="D103" s="1203">
        <v>7</v>
      </c>
      <c r="E103" s="1112" t="s">
        <v>62</v>
      </c>
      <c r="F103" s="1232"/>
      <c r="G103" s="1232"/>
      <c r="H103" s="1245"/>
      <c r="I103" s="1239"/>
      <c r="J103" s="1239"/>
      <c r="K103" s="1239"/>
      <c r="L103" s="1239"/>
      <c r="M103" s="1232"/>
      <c r="N103" s="1240"/>
      <c r="O103" s="1238"/>
      <c r="P103" s="1244"/>
      <c r="Q103" s="1244"/>
      <c r="R103" s="1244"/>
      <c r="S103" s="1244"/>
      <c r="T103" s="1244"/>
      <c r="U103" s="1244"/>
      <c r="V103" s="1244"/>
      <c r="W103" s="1244"/>
      <c r="X103" s="1244"/>
      <c r="Y103" s="1240"/>
    </row>
    <row r="104" spans="2:25">
      <c r="B104" s="1111"/>
      <c r="C104" s="1084" t="s">
        <v>34</v>
      </c>
      <c r="D104" s="1203">
        <v>8</v>
      </c>
      <c r="E104" s="1112" t="s">
        <v>63</v>
      </c>
      <c r="F104" s="1232">
        <f t="shared" si="23"/>
        <v>128628</v>
      </c>
      <c r="G104" s="1232">
        <f t="shared" si="24"/>
        <v>69760</v>
      </c>
      <c r="H104" s="1245">
        <v>69760</v>
      </c>
      <c r="I104" s="1239"/>
      <c r="J104" s="1239"/>
      <c r="K104" s="1239"/>
      <c r="L104" s="1239"/>
      <c r="M104" s="1232">
        <f t="shared" si="25"/>
        <v>58868</v>
      </c>
      <c r="N104" s="1240"/>
      <c r="O104" s="1238">
        <v>7578</v>
      </c>
      <c r="P104" s="1244">
        <v>1180</v>
      </c>
      <c r="Q104" s="1244">
        <v>2600</v>
      </c>
      <c r="R104" s="1244">
        <v>2200</v>
      </c>
      <c r="S104" s="1244">
        <v>1440</v>
      </c>
      <c r="T104" s="1244">
        <v>2960</v>
      </c>
      <c r="U104" s="1244">
        <v>16260</v>
      </c>
      <c r="V104" s="1244">
        <v>18000</v>
      </c>
      <c r="W104" s="1244"/>
      <c r="X104" s="1244">
        <v>4800</v>
      </c>
      <c r="Y104" s="1240">
        <v>1850</v>
      </c>
    </row>
    <row r="105" spans="2:25">
      <c r="B105" s="1111"/>
      <c r="C105" s="1084" t="s">
        <v>34</v>
      </c>
      <c r="D105" s="1203">
        <v>9</v>
      </c>
      <c r="E105" s="1112" t="s">
        <v>64</v>
      </c>
      <c r="F105" s="1232">
        <f t="shared" si="23"/>
        <v>5000</v>
      </c>
      <c r="G105" s="1232">
        <f t="shared" si="24"/>
        <v>5000</v>
      </c>
      <c r="H105" s="1245">
        <v>5000</v>
      </c>
      <c r="I105" s="1239"/>
      <c r="J105" s="1239"/>
      <c r="K105" s="1239"/>
      <c r="L105" s="1239"/>
      <c r="M105" s="1232">
        <f t="shared" si="25"/>
        <v>0</v>
      </c>
      <c r="N105" s="1240"/>
      <c r="O105" s="1238"/>
      <c r="P105" s="1244"/>
      <c r="Q105" s="1244"/>
      <c r="R105" s="1244">
        <v>0</v>
      </c>
      <c r="S105" s="1244"/>
      <c r="T105" s="1244"/>
      <c r="U105" s="1244"/>
      <c r="V105" s="1244">
        <v>0</v>
      </c>
      <c r="W105" s="1244"/>
      <c r="X105" s="1244"/>
      <c r="Y105" s="1240">
        <v>0</v>
      </c>
    </row>
    <row r="106" spans="2:25">
      <c r="B106" s="1111"/>
      <c r="C106" s="1084" t="s">
        <v>34</v>
      </c>
      <c r="D106" s="1203">
        <v>10</v>
      </c>
      <c r="E106" s="1113" t="s">
        <v>65</v>
      </c>
      <c r="F106" s="1232">
        <f t="shared" si="23"/>
        <v>19200</v>
      </c>
      <c r="G106" s="1232">
        <f t="shared" si="24"/>
        <v>0</v>
      </c>
      <c r="H106" s="1245"/>
      <c r="I106" s="1239"/>
      <c r="J106" s="1239"/>
      <c r="K106" s="1239"/>
      <c r="L106" s="1239"/>
      <c r="M106" s="1232">
        <f t="shared" si="25"/>
        <v>19200</v>
      </c>
      <c r="N106" s="1255"/>
      <c r="O106" s="1238">
        <v>0</v>
      </c>
      <c r="P106" s="1245"/>
      <c r="Q106" s="1245"/>
      <c r="R106" s="1245">
        <v>0</v>
      </c>
      <c r="S106" s="1245"/>
      <c r="T106" s="1245"/>
      <c r="U106" s="1245"/>
      <c r="V106" s="1245">
        <v>0</v>
      </c>
      <c r="W106" s="1245"/>
      <c r="X106" s="1245"/>
      <c r="Y106" s="1255">
        <v>19200</v>
      </c>
    </row>
    <row r="107" spans="2:25" ht="24">
      <c r="B107" s="1111"/>
      <c r="C107" s="1084" t="s">
        <v>34</v>
      </c>
      <c r="D107" s="1203">
        <v>11</v>
      </c>
      <c r="E107" s="1114" t="s">
        <v>654</v>
      </c>
      <c r="F107" s="1232"/>
      <c r="G107" s="1232"/>
      <c r="H107" s="1245"/>
      <c r="I107" s="1239"/>
      <c r="J107" s="1239"/>
      <c r="K107" s="1239"/>
      <c r="L107" s="1239"/>
      <c r="M107" s="1232"/>
      <c r="N107" s="1255"/>
      <c r="O107" s="1238"/>
      <c r="P107" s="1245"/>
      <c r="Q107" s="1245"/>
      <c r="R107" s="1244"/>
      <c r="S107" s="1245"/>
      <c r="T107" s="1245"/>
      <c r="U107" s="1245"/>
      <c r="V107" s="1245"/>
      <c r="W107" s="1245"/>
      <c r="X107" s="1245"/>
      <c r="Y107" s="1255"/>
    </row>
    <row r="108" spans="2:25">
      <c r="B108" s="1111"/>
      <c r="C108" s="1084" t="s">
        <v>34</v>
      </c>
      <c r="D108" s="1203">
        <v>12</v>
      </c>
      <c r="E108" s="1113" t="s">
        <v>231</v>
      </c>
      <c r="F108" s="1232">
        <f t="shared" si="23"/>
        <v>20639</v>
      </c>
      <c r="G108" s="1232">
        <f t="shared" si="24"/>
        <v>0</v>
      </c>
      <c r="H108" s="1245"/>
      <c r="I108" s="1239"/>
      <c r="J108" s="1239"/>
      <c r="K108" s="1239"/>
      <c r="L108" s="1239"/>
      <c r="M108" s="1232">
        <f t="shared" si="25"/>
        <v>20639</v>
      </c>
      <c r="N108" s="1255">
        <v>530</v>
      </c>
      <c r="O108" s="1238">
        <v>1200</v>
      </c>
      <c r="P108" s="1256">
        <v>1079</v>
      </c>
      <c r="Q108" s="1245">
        <v>5000</v>
      </c>
      <c r="R108" s="1245">
        <v>0</v>
      </c>
      <c r="S108" s="1245"/>
      <c r="T108" s="1245">
        <v>5000</v>
      </c>
      <c r="U108" s="1245">
        <v>330</v>
      </c>
      <c r="V108" s="1245">
        <v>7500</v>
      </c>
      <c r="W108" s="1245"/>
      <c r="X108" s="1245"/>
      <c r="Y108" s="1255">
        <v>0</v>
      </c>
    </row>
    <row r="109" spans="2:25" ht="24">
      <c r="B109" s="1111"/>
      <c r="C109" s="1084" t="s">
        <v>34</v>
      </c>
      <c r="D109" s="1203">
        <v>13</v>
      </c>
      <c r="E109" s="1113" t="s">
        <v>67</v>
      </c>
      <c r="F109" s="1232">
        <f t="shared" si="23"/>
        <v>15000</v>
      </c>
      <c r="G109" s="1232">
        <f t="shared" si="24"/>
        <v>0</v>
      </c>
      <c r="H109" s="1245"/>
      <c r="I109" s="1239"/>
      <c r="J109" s="1239"/>
      <c r="K109" s="1239"/>
      <c r="L109" s="1239"/>
      <c r="M109" s="1232">
        <f t="shared" si="25"/>
        <v>15000</v>
      </c>
      <c r="N109" s="1255"/>
      <c r="O109" s="1238">
        <v>1000</v>
      </c>
      <c r="P109" s="1245"/>
      <c r="Q109" s="1245">
        <v>5000</v>
      </c>
      <c r="R109" s="1244">
        <v>9000</v>
      </c>
      <c r="S109" s="1245"/>
      <c r="T109" s="1245"/>
      <c r="U109" s="1245"/>
      <c r="V109" s="1245">
        <v>0</v>
      </c>
      <c r="W109" s="1245"/>
      <c r="X109" s="1245"/>
      <c r="Y109" s="1255">
        <v>0</v>
      </c>
    </row>
    <row r="110" spans="2:25" ht="108">
      <c r="B110" s="1111"/>
      <c r="C110" s="1084" t="s">
        <v>34</v>
      </c>
      <c r="D110" s="1203">
        <v>14</v>
      </c>
      <c r="E110" s="1113" t="s">
        <v>425</v>
      </c>
      <c r="F110" s="1232">
        <f t="shared" si="23"/>
        <v>26250</v>
      </c>
      <c r="G110" s="1232">
        <f t="shared" si="24"/>
        <v>13200</v>
      </c>
      <c r="H110" s="1245">
        <f>13200</f>
        <v>13200</v>
      </c>
      <c r="I110" s="1239"/>
      <c r="J110" s="1239"/>
      <c r="K110" s="1239"/>
      <c r="L110" s="1239"/>
      <c r="M110" s="1232">
        <f t="shared" si="25"/>
        <v>13050</v>
      </c>
      <c r="N110" s="1255">
        <v>10050</v>
      </c>
      <c r="O110" s="1238">
        <v>0</v>
      </c>
      <c r="P110" s="1245"/>
      <c r="Q110" s="1245">
        <v>3000</v>
      </c>
      <c r="R110" s="1244"/>
      <c r="S110" s="1245"/>
      <c r="T110" s="1245"/>
      <c r="U110" s="1245"/>
      <c r="V110" s="1245">
        <v>0</v>
      </c>
      <c r="W110" s="1245"/>
      <c r="X110" s="1245"/>
      <c r="Y110" s="1255">
        <v>0</v>
      </c>
    </row>
    <row r="111" spans="2:25" ht="24">
      <c r="B111" s="1111"/>
      <c r="C111" s="1084" t="s">
        <v>34</v>
      </c>
      <c r="D111" s="1203">
        <v>15</v>
      </c>
      <c r="E111" s="1114" t="s">
        <v>655</v>
      </c>
      <c r="F111" s="1232"/>
      <c r="G111" s="1232"/>
      <c r="H111" s="1245"/>
      <c r="I111" s="1239"/>
      <c r="J111" s="1239"/>
      <c r="K111" s="1239"/>
      <c r="L111" s="1239"/>
      <c r="M111" s="1232"/>
      <c r="N111" s="1255"/>
      <c r="O111" s="1238"/>
      <c r="P111" s="1245"/>
      <c r="Q111" s="1245"/>
      <c r="R111" s="1244"/>
      <c r="S111" s="1245"/>
      <c r="T111" s="1245"/>
      <c r="U111" s="1245"/>
      <c r="V111" s="1245"/>
      <c r="W111" s="1245"/>
      <c r="X111" s="1245"/>
      <c r="Y111" s="1255"/>
    </row>
    <row r="112" spans="2:25">
      <c r="B112" s="1111"/>
      <c r="C112" s="1084" t="s">
        <v>34</v>
      </c>
      <c r="D112" s="1203">
        <v>16</v>
      </c>
      <c r="E112" s="1087" t="s">
        <v>290</v>
      </c>
      <c r="F112" s="1232">
        <f t="shared" si="23"/>
        <v>4948</v>
      </c>
      <c r="G112" s="1232">
        <f t="shared" si="24"/>
        <v>0</v>
      </c>
      <c r="H112" s="1245"/>
      <c r="I112" s="1239"/>
      <c r="J112" s="1239"/>
      <c r="K112" s="1239"/>
      <c r="L112" s="1239"/>
      <c r="M112" s="1232">
        <f t="shared" si="25"/>
        <v>4948</v>
      </c>
      <c r="N112" s="1255"/>
      <c r="O112" s="1238"/>
      <c r="P112" s="1245"/>
      <c r="Q112" s="1245"/>
      <c r="R112" s="1244"/>
      <c r="S112" s="1245">
        <v>4948</v>
      </c>
      <c r="T112" s="1245"/>
      <c r="U112" s="1245"/>
      <c r="V112" s="1245"/>
      <c r="W112" s="1245"/>
      <c r="X112" s="1245"/>
      <c r="Y112" s="1255"/>
    </row>
    <row r="113" spans="1:25">
      <c r="B113" s="1111"/>
      <c r="C113" s="1084" t="s">
        <v>34</v>
      </c>
      <c r="D113" s="1203">
        <v>17</v>
      </c>
      <c r="E113" s="1087" t="s">
        <v>292</v>
      </c>
      <c r="F113" s="1232">
        <f t="shared" si="23"/>
        <v>91483</v>
      </c>
      <c r="G113" s="1232">
        <f t="shared" si="24"/>
        <v>0</v>
      </c>
      <c r="H113" s="1245"/>
      <c r="I113" s="1239"/>
      <c r="J113" s="1239"/>
      <c r="K113" s="1239"/>
      <c r="L113" s="1239"/>
      <c r="M113" s="1232">
        <f t="shared" si="25"/>
        <v>91483</v>
      </c>
      <c r="N113" s="1255">
        <v>6103</v>
      </c>
      <c r="O113" s="1238">
        <v>6200</v>
      </c>
      <c r="P113" s="1245">
        <v>6000</v>
      </c>
      <c r="Q113" s="1245">
        <v>6000</v>
      </c>
      <c r="R113" s="1244">
        <v>2880</v>
      </c>
      <c r="S113" s="1245">
        <v>6000</v>
      </c>
      <c r="T113" s="1245">
        <v>12000</v>
      </c>
      <c r="U113" s="1245">
        <v>11100</v>
      </c>
      <c r="V113" s="1245">
        <v>12000</v>
      </c>
      <c r="W113" s="1245">
        <v>5000</v>
      </c>
      <c r="X113" s="1245">
        <v>12000</v>
      </c>
      <c r="Y113" s="1255">
        <v>6200</v>
      </c>
    </row>
    <row r="114" spans="1:25">
      <c r="B114" s="1111"/>
      <c r="C114" s="1084" t="s">
        <v>34</v>
      </c>
      <c r="D114" s="1203">
        <v>18</v>
      </c>
      <c r="E114" s="1087" t="s">
        <v>291</v>
      </c>
      <c r="F114" s="1232">
        <f t="shared" si="23"/>
        <v>17400</v>
      </c>
      <c r="G114" s="1232">
        <f t="shared" si="24"/>
        <v>11820</v>
      </c>
      <c r="H114" s="1245">
        <f>6460+5360</f>
        <v>11820</v>
      </c>
      <c r="I114" s="1239"/>
      <c r="J114" s="1239"/>
      <c r="K114" s="1239"/>
      <c r="L114" s="1239"/>
      <c r="M114" s="1232">
        <f t="shared" si="25"/>
        <v>5580</v>
      </c>
      <c r="N114" s="1255"/>
      <c r="O114" s="1238"/>
      <c r="P114" s="1245"/>
      <c r="Q114" s="1245"/>
      <c r="R114" s="1244"/>
      <c r="S114" s="1245"/>
      <c r="T114" s="1245"/>
      <c r="U114" s="1245">
        <v>5580</v>
      </c>
      <c r="V114" s="1245"/>
      <c r="W114" s="1245"/>
      <c r="X114" s="1245"/>
      <c r="Y114" s="1255"/>
    </row>
    <row r="115" spans="1:25" ht="60">
      <c r="B115" s="1111"/>
      <c r="C115" s="1084" t="s">
        <v>34</v>
      </c>
      <c r="D115" s="1203">
        <v>19</v>
      </c>
      <c r="E115" s="1114" t="s">
        <v>656</v>
      </c>
      <c r="F115" s="1232"/>
      <c r="G115" s="1232"/>
      <c r="H115" s="1245"/>
      <c r="I115" s="1239"/>
      <c r="J115" s="1239"/>
      <c r="K115" s="1239"/>
      <c r="L115" s="1239"/>
      <c r="M115" s="1232"/>
      <c r="N115" s="1255"/>
      <c r="O115" s="1238"/>
      <c r="P115" s="1245"/>
      <c r="Q115" s="1245"/>
      <c r="R115" s="1244"/>
      <c r="S115" s="1245"/>
      <c r="T115" s="1245"/>
      <c r="U115" s="1245"/>
      <c r="V115" s="1245"/>
      <c r="W115" s="1245"/>
      <c r="X115" s="1245"/>
      <c r="Y115" s="1255"/>
    </row>
    <row r="116" spans="1:25" ht="19.5" customHeight="1">
      <c r="B116" s="1111"/>
      <c r="C116" s="1084" t="s">
        <v>34</v>
      </c>
      <c r="D116" s="1203">
        <v>20</v>
      </c>
      <c r="E116" s="1114" t="s">
        <v>657</v>
      </c>
      <c r="F116" s="1232"/>
      <c r="G116" s="1232"/>
      <c r="H116" s="1245"/>
      <c r="I116" s="1239"/>
      <c r="J116" s="1239"/>
      <c r="K116" s="1239"/>
      <c r="L116" s="1239"/>
      <c r="M116" s="1232"/>
      <c r="N116" s="1255"/>
      <c r="O116" s="1238"/>
      <c r="P116" s="1245"/>
      <c r="Q116" s="1245"/>
      <c r="R116" s="1244"/>
      <c r="S116" s="1245"/>
      <c r="T116" s="1245"/>
      <c r="U116" s="1245"/>
      <c r="V116" s="1245"/>
      <c r="W116" s="1245"/>
      <c r="X116" s="1245"/>
      <c r="Y116" s="1255"/>
    </row>
    <row r="117" spans="1:25" s="1078" customFormat="1" ht="24">
      <c r="A117" s="1078" t="s">
        <v>809</v>
      </c>
      <c r="B117" s="1094" t="s">
        <v>254</v>
      </c>
      <c r="C117" s="1080" t="s">
        <v>34</v>
      </c>
      <c r="D117" s="1431"/>
      <c r="E117" s="1290" t="s">
        <v>21</v>
      </c>
      <c r="F117" s="1232">
        <f t="shared" si="23"/>
        <v>2591097</v>
      </c>
      <c r="G117" s="1232">
        <f t="shared" si="24"/>
        <v>460000</v>
      </c>
      <c r="H117" s="1236">
        <f>SUM(H118:H147)</f>
        <v>460000</v>
      </c>
      <c r="I117" s="1237">
        <f t="shared" ref="I117:Y117" si="28">SUM(I118:I147)</f>
        <v>0</v>
      </c>
      <c r="J117" s="1237">
        <f t="shared" si="28"/>
        <v>0</v>
      </c>
      <c r="K117" s="1237">
        <f t="shared" si="28"/>
        <v>0</v>
      </c>
      <c r="L117" s="1237">
        <f t="shared" si="28"/>
        <v>0</v>
      </c>
      <c r="M117" s="1232">
        <f t="shared" si="25"/>
        <v>2131097</v>
      </c>
      <c r="N117" s="1236">
        <f t="shared" si="28"/>
        <v>9974</v>
      </c>
      <c r="O117" s="1236">
        <f t="shared" si="28"/>
        <v>32000</v>
      </c>
      <c r="P117" s="1236">
        <f t="shared" si="28"/>
        <v>33558</v>
      </c>
      <c r="Q117" s="1236">
        <f t="shared" si="28"/>
        <v>191575</v>
      </c>
      <c r="R117" s="1236">
        <f t="shared" si="28"/>
        <v>236700</v>
      </c>
      <c r="S117" s="1236">
        <f t="shared" si="28"/>
        <v>47525</v>
      </c>
      <c r="T117" s="1236">
        <f t="shared" si="28"/>
        <v>406650</v>
      </c>
      <c r="U117" s="1236">
        <f t="shared" si="28"/>
        <v>257640</v>
      </c>
      <c r="V117" s="1236">
        <f t="shared" si="28"/>
        <v>449885</v>
      </c>
      <c r="W117" s="1236">
        <f t="shared" si="28"/>
        <v>157540</v>
      </c>
      <c r="X117" s="1236">
        <f t="shared" si="28"/>
        <v>167370</v>
      </c>
      <c r="Y117" s="1236">
        <f t="shared" si="28"/>
        <v>140680</v>
      </c>
    </row>
    <row r="118" spans="1:25" ht="36">
      <c r="B118" s="1108"/>
      <c r="C118" s="1084" t="s">
        <v>34</v>
      </c>
      <c r="D118" s="1203">
        <v>1</v>
      </c>
      <c r="E118" s="1115" t="s">
        <v>658</v>
      </c>
      <c r="F118" s="1232"/>
      <c r="G118" s="1232"/>
      <c r="H118" s="1244"/>
      <c r="I118" s="1239"/>
      <c r="J118" s="1239"/>
      <c r="K118" s="1239"/>
      <c r="L118" s="1239"/>
      <c r="M118" s="1232"/>
      <c r="N118" s="1255"/>
      <c r="O118" s="1245"/>
      <c r="P118" s="1245"/>
      <c r="Q118" s="1245"/>
      <c r="R118" s="1245"/>
      <c r="S118" s="1245"/>
      <c r="T118" s="1244"/>
      <c r="U118" s="1245"/>
      <c r="V118" s="1245"/>
      <c r="W118" s="1245"/>
      <c r="X118" s="1245"/>
      <c r="Y118" s="1255"/>
    </row>
    <row r="119" spans="1:25">
      <c r="B119" s="1108"/>
      <c r="C119" s="1084" t="s">
        <v>34</v>
      </c>
      <c r="D119" s="1203">
        <v>2</v>
      </c>
      <c r="E119" s="1288" t="s">
        <v>68</v>
      </c>
      <c r="F119" s="1232">
        <f t="shared" si="23"/>
        <v>318220</v>
      </c>
      <c r="G119" s="1232">
        <f t="shared" si="24"/>
        <v>115000</v>
      </c>
      <c r="H119" s="1254">
        <v>115000</v>
      </c>
      <c r="I119" s="1253"/>
      <c r="J119" s="1253"/>
      <c r="K119" s="1253"/>
      <c r="L119" s="1253"/>
      <c r="M119" s="1232">
        <f t="shared" si="25"/>
        <v>203220</v>
      </c>
      <c r="N119" s="1254">
        <v>9800</v>
      </c>
      <c r="O119" s="1254">
        <v>17000</v>
      </c>
      <c r="P119" s="1254">
        <v>1180</v>
      </c>
      <c r="Q119" s="1254">
        <v>23900</v>
      </c>
      <c r="R119" s="1254">
        <v>37820</v>
      </c>
      <c r="S119" s="1254">
        <v>1260</v>
      </c>
      <c r="T119" s="1254">
        <v>42900</v>
      </c>
      <c r="U119" s="1254">
        <v>38340</v>
      </c>
      <c r="V119" s="1254"/>
      <c r="W119" s="1254">
        <v>9040</v>
      </c>
      <c r="X119" s="1254">
        <v>8690</v>
      </c>
      <c r="Y119" s="1254">
        <v>13290</v>
      </c>
    </row>
    <row r="120" spans="1:25">
      <c r="B120" s="1108"/>
      <c r="C120" s="1084" t="s">
        <v>34</v>
      </c>
      <c r="D120" s="1203">
        <v>3</v>
      </c>
      <c r="E120" s="1289" t="s">
        <v>69</v>
      </c>
      <c r="F120" s="1232"/>
      <c r="G120" s="1232"/>
      <c r="H120" s="1244"/>
      <c r="I120" s="1239"/>
      <c r="J120" s="1239"/>
      <c r="K120" s="1239"/>
      <c r="L120" s="1239"/>
      <c r="M120" s="1232"/>
      <c r="N120" s="1255"/>
      <c r="O120" s="1238"/>
      <c r="P120" s="1245"/>
      <c r="Q120" s="1245"/>
      <c r="R120" s="1245"/>
      <c r="S120" s="1245"/>
      <c r="T120" s="1244"/>
      <c r="U120" s="1245"/>
      <c r="V120" s="1245"/>
      <c r="W120" s="1245"/>
      <c r="X120" s="1245"/>
      <c r="Y120" s="1255"/>
    </row>
    <row r="121" spans="1:25" ht="36">
      <c r="B121" s="1108"/>
      <c r="C121" s="1084" t="s">
        <v>34</v>
      </c>
      <c r="D121" s="1203">
        <v>4</v>
      </c>
      <c r="E121" s="1116" t="s">
        <v>539</v>
      </c>
      <c r="F121" s="1232"/>
      <c r="G121" s="1232"/>
      <c r="H121" s="1244"/>
      <c r="I121" s="1239"/>
      <c r="J121" s="1239"/>
      <c r="K121" s="1239"/>
      <c r="L121" s="1239"/>
      <c r="M121" s="1232"/>
      <c r="N121" s="1255"/>
      <c r="O121" s="1238"/>
      <c r="P121" s="1245"/>
      <c r="Q121" s="1245"/>
      <c r="R121" s="1245"/>
      <c r="S121" s="1245"/>
      <c r="T121" s="1244"/>
      <c r="U121" s="1245"/>
      <c r="V121" s="1245"/>
      <c r="W121" s="1245"/>
      <c r="X121" s="1245"/>
      <c r="Y121" s="1255"/>
    </row>
    <row r="122" spans="1:25">
      <c r="B122" s="1108"/>
      <c r="C122" s="1084" t="s">
        <v>34</v>
      </c>
      <c r="D122" s="1203">
        <v>5</v>
      </c>
      <c r="E122" s="1288" t="s">
        <v>70</v>
      </c>
      <c r="F122" s="1232">
        <f t="shared" si="23"/>
        <v>12400</v>
      </c>
      <c r="G122" s="1232">
        <f t="shared" si="24"/>
        <v>0</v>
      </c>
      <c r="H122" s="1244"/>
      <c r="I122" s="1239"/>
      <c r="J122" s="1239"/>
      <c r="K122" s="1239"/>
      <c r="L122" s="1239"/>
      <c r="M122" s="1232">
        <f t="shared" si="25"/>
        <v>12400</v>
      </c>
      <c r="N122" s="1255"/>
      <c r="O122" s="1238">
        <v>1500</v>
      </c>
      <c r="P122" s="1245">
        <v>200</v>
      </c>
      <c r="Q122" s="1245">
        <v>2000</v>
      </c>
      <c r="R122" s="1245">
        <v>5000</v>
      </c>
      <c r="S122" s="1245"/>
      <c r="T122" s="1244"/>
      <c r="U122" s="1245"/>
      <c r="V122" s="1245"/>
      <c r="W122" s="1245">
        <v>1500</v>
      </c>
      <c r="X122" s="1254"/>
      <c r="Y122" s="1255">
        <v>2200</v>
      </c>
    </row>
    <row r="123" spans="1:25" ht="24">
      <c r="B123" s="1108"/>
      <c r="C123" s="1084" t="s">
        <v>34</v>
      </c>
      <c r="D123" s="1203">
        <v>6</v>
      </c>
      <c r="E123" s="1113" t="s">
        <v>523</v>
      </c>
      <c r="F123" s="1232">
        <f t="shared" si="23"/>
        <v>10000</v>
      </c>
      <c r="G123" s="1232">
        <f t="shared" si="24"/>
        <v>10000</v>
      </c>
      <c r="H123" s="1244">
        <v>10000</v>
      </c>
      <c r="I123" s="1239"/>
      <c r="J123" s="1239"/>
      <c r="K123" s="1239"/>
      <c r="L123" s="1239"/>
      <c r="M123" s="1232">
        <f t="shared" si="25"/>
        <v>0</v>
      </c>
      <c r="N123" s="1255"/>
      <c r="O123" s="1238"/>
      <c r="P123" s="1245"/>
      <c r="Q123" s="1245"/>
      <c r="R123" s="1245"/>
      <c r="S123" s="1245"/>
      <c r="T123" s="1244"/>
      <c r="U123" s="1245"/>
      <c r="V123" s="1245"/>
      <c r="W123" s="1245"/>
      <c r="X123" s="1245"/>
      <c r="Y123" s="1255"/>
    </row>
    <row r="124" spans="1:25">
      <c r="B124" s="1108"/>
      <c r="C124" s="1084" t="s">
        <v>34</v>
      </c>
      <c r="D124" s="1203">
        <v>7</v>
      </c>
      <c r="E124" s="1289" t="s">
        <v>659</v>
      </c>
      <c r="F124" s="1232"/>
      <c r="G124" s="1232"/>
      <c r="H124" s="1244"/>
      <c r="I124" s="1239"/>
      <c r="J124" s="1239"/>
      <c r="K124" s="1239"/>
      <c r="L124" s="1239"/>
      <c r="M124" s="1232"/>
      <c r="N124" s="1255"/>
      <c r="O124" s="1238"/>
      <c r="P124" s="1245"/>
      <c r="Q124" s="1245"/>
      <c r="R124" s="1245"/>
      <c r="S124" s="1245"/>
      <c r="T124" s="1244"/>
      <c r="U124" s="1245"/>
      <c r="V124" s="1245"/>
      <c r="W124" s="1245"/>
      <c r="X124" s="1245"/>
      <c r="Y124" s="1255"/>
    </row>
    <row r="125" spans="1:25" ht="48">
      <c r="B125" s="1108"/>
      <c r="C125" s="1084" t="s">
        <v>34</v>
      </c>
      <c r="D125" s="1203">
        <v>8</v>
      </c>
      <c r="E125" s="1115" t="s">
        <v>661</v>
      </c>
      <c r="F125" s="1232"/>
      <c r="G125" s="1232"/>
      <c r="H125" s="1244"/>
      <c r="I125" s="1239"/>
      <c r="J125" s="1239"/>
      <c r="K125" s="1239"/>
      <c r="L125" s="1239"/>
      <c r="M125" s="1232"/>
      <c r="N125" s="1255"/>
      <c r="O125" s="1238"/>
      <c r="P125" s="1245"/>
      <c r="Q125" s="1245"/>
      <c r="R125" s="1245"/>
      <c r="S125" s="1245"/>
      <c r="T125" s="1244"/>
      <c r="U125" s="1245"/>
      <c r="V125" s="1245"/>
      <c r="W125" s="1245"/>
      <c r="X125" s="1245"/>
      <c r="Y125" s="1255"/>
    </row>
    <row r="126" spans="1:25" ht="48">
      <c r="B126" s="1108"/>
      <c r="C126" s="1084" t="s">
        <v>34</v>
      </c>
      <c r="D126" s="1203">
        <v>9</v>
      </c>
      <c r="E126" s="1117" t="s">
        <v>662</v>
      </c>
      <c r="F126" s="1232"/>
      <c r="G126" s="1232"/>
      <c r="H126" s="1244"/>
      <c r="I126" s="1239"/>
      <c r="J126" s="1239"/>
      <c r="K126" s="1239"/>
      <c r="L126" s="1239"/>
      <c r="M126" s="1232"/>
      <c r="N126" s="1255"/>
      <c r="O126" s="1238"/>
      <c r="P126" s="1245"/>
      <c r="Q126" s="1245"/>
      <c r="R126" s="1245"/>
      <c r="S126" s="1245"/>
      <c r="T126" s="1244"/>
      <c r="U126" s="1245"/>
      <c r="V126" s="1245"/>
      <c r="W126" s="1245"/>
      <c r="X126" s="1245"/>
      <c r="Y126" s="1255"/>
    </row>
    <row r="127" spans="1:25" ht="24">
      <c r="B127" s="1108"/>
      <c r="C127" s="1084" t="s">
        <v>34</v>
      </c>
      <c r="D127" s="1203">
        <v>10</v>
      </c>
      <c r="E127" s="1113" t="s">
        <v>524</v>
      </c>
      <c r="F127" s="1232">
        <f t="shared" si="23"/>
        <v>253461</v>
      </c>
      <c r="G127" s="1232">
        <f t="shared" si="24"/>
        <v>0</v>
      </c>
      <c r="H127" s="1244"/>
      <c r="I127" s="1239"/>
      <c r="J127" s="1239"/>
      <c r="K127" s="1239"/>
      <c r="L127" s="1239"/>
      <c r="M127" s="1232">
        <f t="shared" si="25"/>
        <v>253461</v>
      </c>
      <c r="N127" s="1255"/>
      <c r="O127" s="1238">
        <v>4000</v>
      </c>
      <c r="P127" s="1245">
        <v>300</v>
      </c>
      <c r="Q127" s="1245">
        <v>28800</v>
      </c>
      <c r="R127" s="1244">
        <v>6400</v>
      </c>
      <c r="S127" s="1245">
        <v>8121</v>
      </c>
      <c r="T127" s="1244">
        <v>7680</v>
      </c>
      <c r="U127" s="1245">
        <v>15000</v>
      </c>
      <c r="V127" s="1245">
        <v>71520</v>
      </c>
      <c r="W127" s="1245">
        <v>37400</v>
      </c>
      <c r="X127" s="1245">
        <v>52000</v>
      </c>
      <c r="Y127" s="1255">
        <v>22240</v>
      </c>
    </row>
    <row r="128" spans="1:25" ht="48">
      <c r="B128" s="1108"/>
      <c r="C128" s="1084" t="s">
        <v>34</v>
      </c>
      <c r="D128" s="1203">
        <v>11</v>
      </c>
      <c r="E128" s="1115" t="s">
        <v>660</v>
      </c>
      <c r="F128" s="1232"/>
      <c r="G128" s="1232"/>
      <c r="H128" s="1244"/>
      <c r="I128" s="1239"/>
      <c r="J128" s="1239"/>
      <c r="K128" s="1239"/>
      <c r="L128" s="1239"/>
      <c r="M128" s="1232"/>
      <c r="N128" s="1240"/>
      <c r="O128" s="1238"/>
      <c r="P128" s="1244"/>
      <c r="Q128" s="1244"/>
      <c r="R128" s="1244"/>
      <c r="S128" s="1244"/>
      <c r="T128" s="1244"/>
      <c r="U128" s="1244"/>
      <c r="V128" s="1244"/>
      <c r="W128" s="1244"/>
      <c r="X128" s="1244"/>
      <c r="Y128" s="1255"/>
    </row>
    <row r="129" spans="2:25">
      <c r="B129" s="1108"/>
      <c r="C129" s="1084" t="s">
        <v>34</v>
      </c>
      <c r="D129" s="1203">
        <v>12</v>
      </c>
      <c r="E129" s="1288" t="s">
        <v>60</v>
      </c>
      <c r="F129" s="1232">
        <f t="shared" si="23"/>
        <v>25800</v>
      </c>
      <c r="G129" s="1232">
        <f t="shared" si="24"/>
        <v>5000</v>
      </c>
      <c r="H129" s="1244">
        <v>5000</v>
      </c>
      <c r="I129" s="1239"/>
      <c r="J129" s="1239"/>
      <c r="K129" s="1239"/>
      <c r="L129" s="1239"/>
      <c r="M129" s="1232">
        <f t="shared" si="25"/>
        <v>20800</v>
      </c>
      <c r="N129" s="1240"/>
      <c r="O129" s="1238"/>
      <c r="P129" s="1244">
        <v>500</v>
      </c>
      <c r="Q129" s="1244">
        <v>7800</v>
      </c>
      <c r="R129" s="1244"/>
      <c r="S129" s="1244"/>
      <c r="T129" s="1244">
        <v>12500</v>
      </c>
      <c r="U129" s="1244"/>
      <c r="V129" s="1244"/>
      <c r="W129" s="1244"/>
      <c r="X129" s="1244"/>
      <c r="Y129" s="1255"/>
    </row>
    <row r="130" spans="2:25" ht="48">
      <c r="B130" s="1108"/>
      <c r="C130" s="1084" t="s">
        <v>34</v>
      </c>
      <c r="D130" s="1203">
        <v>13</v>
      </c>
      <c r="E130" s="1113" t="s">
        <v>542</v>
      </c>
      <c r="F130" s="1232">
        <f t="shared" si="23"/>
        <v>110224</v>
      </c>
      <c r="G130" s="1232">
        <f t="shared" si="24"/>
        <v>0</v>
      </c>
      <c r="H130" s="1244"/>
      <c r="I130" s="1239"/>
      <c r="J130" s="1239"/>
      <c r="K130" s="1239"/>
      <c r="L130" s="1239"/>
      <c r="M130" s="1232">
        <f t="shared" si="25"/>
        <v>110224</v>
      </c>
      <c r="N130" s="1240">
        <v>174</v>
      </c>
      <c r="O130" s="1238">
        <v>1500</v>
      </c>
      <c r="P130" s="1252">
        <v>220</v>
      </c>
      <c r="Q130" s="1244">
        <v>12000</v>
      </c>
      <c r="R130" s="1244">
        <v>9000</v>
      </c>
      <c r="S130" s="1244"/>
      <c r="T130" s="1244">
        <v>29600</v>
      </c>
      <c r="U130" s="1244">
        <v>8800</v>
      </c>
      <c r="V130" s="1244">
        <v>20000</v>
      </c>
      <c r="W130" s="1244">
        <v>10300</v>
      </c>
      <c r="X130" s="1244">
        <v>12480</v>
      </c>
      <c r="Y130" s="1255">
        <v>6150</v>
      </c>
    </row>
    <row r="131" spans="2:25" ht="36">
      <c r="B131" s="1108"/>
      <c r="C131" s="1084" t="s">
        <v>34</v>
      </c>
      <c r="D131" s="1203">
        <v>14</v>
      </c>
      <c r="E131" s="1113" t="s">
        <v>543</v>
      </c>
      <c r="F131" s="1232">
        <f t="shared" si="23"/>
        <v>1039120</v>
      </c>
      <c r="G131" s="1232">
        <f t="shared" si="24"/>
        <v>0</v>
      </c>
      <c r="H131" s="1254"/>
      <c r="I131" s="1253"/>
      <c r="J131" s="1253"/>
      <c r="K131" s="1253"/>
      <c r="L131" s="1253"/>
      <c r="M131" s="1232">
        <f t="shared" si="25"/>
        <v>1039120</v>
      </c>
      <c r="N131" s="1254"/>
      <c r="O131" s="1254">
        <v>2500</v>
      </c>
      <c r="P131" s="1254">
        <v>20000</v>
      </c>
      <c r="Q131" s="1254">
        <v>80000</v>
      </c>
      <c r="R131" s="1254">
        <v>110000</v>
      </c>
      <c r="S131" s="1254">
        <v>9120</v>
      </c>
      <c r="T131" s="1254">
        <v>147000</v>
      </c>
      <c r="U131" s="1254">
        <v>162200</v>
      </c>
      <c r="V131" s="1254">
        <v>326000</v>
      </c>
      <c r="W131" s="1254">
        <v>64400</v>
      </c>
      <c r="X131" s="1254">
        <v>57600</v>
      </c>
      <c r="Y131" s="1254">
        <v>60300</v>
      </c>
    </row>
    <row r="132" spans="2:25" ht="24">
      <c r="B132" s="1108"/>
      <c r="C132" s="1084" t="s">
        <v>34</v>
      </c>
      <c r="D132" s="1203">
        <v>15</v>
      </c>
      <c r="E132" s="1190" t="s">
        <v>206</v>
      </c>
      <c r="F132" s="1232">
        <f t="shared" si="23"/>
        <v>119658</v>
      </c>
      <c r="G132" s="1232">
        <f t="shared" si="24"/>
        <v>0</v>
      </c>
      <c r="H132" s="1244"/>
      <c r="I132" s="1239"/>
      <c r="J132" s="1239"/>
      <c r="K132" s="1239"/>
      <c r="L132" s="1239"/>
      <c r="M132" s="1232">
        <f t="shared" si="25"/>
        <v>119658</v>
      </c>
      <c r="N132" s="1240"/>
      <c r="O132" s="1238">
        <v>1500</v>
      </c>
      <c r="P132" s="1244">
        <v>1158</v>
      </c>
      <c r="Q132" s="1244">
        <v>5000</v>
      </c>
      <c r="R132" s="1244"/>
      <c r="S132" s="1244"/>
      <c r="T132" s="1244">
        <v>24000</v>
      </c>
      <c r="U132" s="1244"/>
      <c r="V132" s="1244">
        <v>20000</v>
      </c>
      <c r="W132" s="1244">
        <v>24000</v>
      </c>
      <c r="X132" s="1244">
        <v>24000</v>
      </c>
      <c r="Y132" s="1255">
        <v>20000</v>
      </c>
    </row>
    <row r="133" spans="2:25" ht="24">
      <c r="B133" s="1108"/>
      <c r="C133" s="1084" t="s">
        <v>34</v>
      </c>
      <c r="D133" s="1203">
        <v>16</v>
      </c>
      <c r="E133" s="1113" t="s">
        <v>73</v>
      </c>
      <c r="F133" s="1232">
        <f t="shared" si="23"/>
        <v>70300</v>
      </c>
      <c r="G133" s="1232">
        <f t="shared" si="24"/>
        <v>15000</v>
      </c>
      <c r="H133" s="1244">
        <v>15000</v>
      </c>
      <c r="I133" s="1239"/>
      <c r="J133" s="1239"/>
      <c r="K133" s="1239"/>
      <c r="L133" s="1239"/>
      <c r="M133" s="1232">
        <f t="shared" si="25"/>
        <v>55300</v>
      </c>
      <c r="N133" s="1240"/>
      <c r="O133" s="1238">
        <v>2500</v>
      </c>
      <c r="P133" s="1244">
        <v>10000</v>
      </c>
      <c r="Q133" s="1244">
        <v>8000</v>
      </c>
      <c r="R133" s="1244">
        <v>3000</v>
      </c>
      <c r="S133" s="1244"/>
      <c r="T133" s="1244">
        <v>2000</v>
      </c>
      <c r="U133" s="1244">
        <v>5300</v>
      </c>
      <c r="V133" s="1244">
        <v>2000</v>
      </c>
      <c r="W133" s="1244">
        <v>3000</v>
      </c>
      <c r="X133" s="1244">
        <v>3000</v>
      </c>
      <c r="Y133" s="1255">
        <v>16500</v>
      </c>
    </row>
    <row r="134" spans="2:25" ht="36">
      <c r="B134" s="1108"/>
      <c r="C134" s="1084" t="s">
        <v>34</v>
      </c>
      <c r="D134" s="1203">
        <v>17</v>
      </c>
      <c r="E134" s="1116" t="s">
        <v>619</v>
      </c>
      <c r="F134" s="1232"/>
      <c r="G134" s="1232"/>
      <c r="H134" s="1244"/>
      <c r="I134" s="1253"/>
      <c r="J134" s="1253"/>
      <c r="K134" s="1253"/>
      <c r="L134" s="1253"/>
      <c r="M134" s="1232"/>
      <c r="N134" s="1254"/>
      <c r="O134" s="1254"/>
      <c r="P134" s="1254"/>
      <c r="Q134" s="1244"/>
      <c r="R134" s="1244"/>
      <c r="S134" s="1244"/>
      <c r="T134" s="1244"/>
      <c r="U134" s="1244"/>
      <c r="V134" s="1244"/>
      <c r="W134" s="1244"/>
      <c r="X134" s="1244"/>
      <c r="Y134" s="1245"/>
    </row>
    <row r="135" spans="2:25" ht="24">
      <c r="B135" s="1108"/>
      <c r="C135" s="1084" t="s">
        <v>34</v>
      </c>
      <c r="D135" s="1203">
        <v>18</v>
      </c>
      <c r="E135" s="1102" t="s">
        <v>620</v>
      </c>
      <c r="F135" s="1232"/>
      <c r="G135" s="1232"/>
      <c r="H135" s="1244"/>
      <c r="I135" s="1239"/>
      <c r="J135" s="1239"/>
      <c r="K135" s="1239"/>
      <c r="L135" s="1239"/>
      <c r="M135" s="1232"/>
      <c r="N135" s="1238"/>
      <c r="O135" s="1238"/>
      <c r="P135" s="1238"/>
      <c r="Q135" s="1244"/>
      <c r="R135" s="1244"/>
      <c r="S135" s="1244"/>
      <c r="T135" s="1244"/>
      <c r="U135" s="1244"/>
      <c r="V135" s="1244"/>
      <c r="W135" s="1244"/>
      <c r="X135" s="1257"/>
      <c r="Y135" s="1255"/>
    </row>
    <row r="136" spans="2:25">
      <c r="B136" s="1108"/>
      <c r="C136" s="1084" t="s">
        <v>34</v>
      </c>
      <c r="D136" s="1203">
        <v>19</v>
      </c>
      <c r="E136" s="1102" t="s">
        <v>87</v>
      </c>
      <c r="F136" s="1232"/>
      <c r="G136" s="1232"/>
      <c r="H136" s="1244"/>
      <c r="I136" s="1239"/>
      <c r="J136" s="1239"/>
      <c r="K136" s="1239"/>
      <c r="L136" s="1239"/>
      <c r="M136" s="1232"/>
      <c r="N136" s="1238"/>
      <c r="O136" s="1238"/>
      <c r="P136" s="1238"/>
      <c r="Q136" s="1244"/>
      <c r="R136" s="1244"/>
      <c r="S136" s="1244"/>
      <c r="T136" s="1244"/>
      <c r="U136" s="1244"/>
      <c r="V136" s="1244"/>
      <c r="W136" s="1244"/>
      <c r="X136" s="1257"/>
      <c r="Y136" s="1255"/>
    </row>
    <row r="137" spans="2:25">
      <c r="B137" s="1108"/>
      <c r="C137" s="1084" t="s">
        <v>34</v>
      </c>
      <c r="D137" s="1203">
        <v>20</v>
      </c>
      <c r="E137" s="1085" t="s">
        <v>290</v>
      </c>
      <c r="F137" s="1232">
        <f t="shared" ref="F137:F199" si="29">G137+M137</f>
        <v>200000</v>
      </c>
      <c r="G137" s="1232">
        <f t="shared" ref="G137:G199" si="30">SUM(H137:L137)</f>
        <v>200000</v>
      </c>
      <c r="H137" s="1244">
        <v>200000</v>
      </c>
      <c r="I137" s="1239"/>
      <c r="J137" s="1239"/>
      <c r="K137" s="1239"/>
      <c r="L137" s="1239"/>
      <c r="M137" s="1232">
        <f t="shared" ref="M137:M199" si="31">SUM(N137:Y137)</f>
        <v>0</v>
      </c>
      <c r="N137" s="1238"/>
      <c r="O137" s="1238"/>
      <c r="P137" s="1238"/>
      <c r="Q137" s="1244"/>
      <c r="R137" s="1244"/>
      <c r="S137" s="1244"/>
      <c r="T137" s="1244"/>
      <c r="U137" s="1244"/>
      <c r="V137" s="1244"/>
      <c r="W137" s="1244"/>
      <c r="X137" s="1257"/>
      <c r="Y137" s="1255"/>
    </row>
    <row r="138" spans="2:25">
      <c r="B138" s="1108"/>
      <c r="C138" s="1084" t="s">
        <v>34</v>
      </c>
      <c r="D138" s="1203">
        <v>21</v>
      </c>
      <c r="E138" s="1085" t="s">
        <v>292</v>
      </c>
      <c r="F138" s="1232">
        <f t="shared" si="29"/>
        <v>12075</v>
      </c>
      <c r="G138" s="1232">
        <f t="shared" si="30"/>
        <v>0</v>
      </c>
      <c r="H138" s="1244"/>
      <c r="I138" s="1239"/>
      <c r="J138" s="1239"/>
      <c r="K138" s="1239"/>
      <c r="L138" s="1239"/>
      <c r="M138" s="1232">
        <f t="shared" si="31"/>
        <v>12075</v>
      </c>
      <c r="N138" s="1238"/>
      <c r="O138" s="1238"/>
      <c r="P138" s="1238"/>
      <c r="Q138" s="1244">
        <v>12075</v>
      </c>
      <c r="R138" s="1244"/>
      <c r="S138" s="1244"/>
      <c r="T138" s="1244"/>
      <c r="U138" s="1244"/>
      <c r="V138" s="1244"/>
      <c r="W138" s="1244"/>
      <c r="X138" s="1257"/>
      <c r="Y138" s="1255"/>
    </row>
    <row r="139" spans="2:25">
      <c r="B139" s="1108"/>
      <c r="C139" s="1084" t="s">
        <v>34</v>
      </c>
      <c r="D139" s="1203">
        <v>22</v>
      </c>
      <c r="E139" s="1085" t="s">
        <v>291</v>
      </c>
      <c r="F139" s="1232">
        <f t="shared" si="29"/>
        <v>63184</v>
      </c>
      <c r="G139" s="1232">
        <f t="shared" si="30"/>
        <v>0</v>
      </c>
      <c r="H139" s="1244"/>
      <c r="I139" s="1239"/>
      <c r="J139" s="1239"/>
      <c r="K139" s="1239"/>
      <c r="L139" s="1239"/>
      <c r="M139" s="1232">
        <f t="shared" si="31"/>
        <v>63184</v>
      </c>
      <c r="N139" s="1238"/>
      <c r="O139" s="1238">
        <v>1500</v>
      </c>
      <c r="P139" s="1238"/>
      <c r="Q139" s="1244">
        <v>12000</v>
      </c>
      <c r="R139" s="1244"/>
      <c r="S139" s="1244">
        <v>13924</v>
      </c>
      <c r="T139" s="1244">
        <v>5200</v>
      </c>
      <c r="U139" s="1244">
        <v>28000</v>
      </c>
      <c r="V139" s="1244">
        <v>2560</v>
      </c>
      <c r="W139" s="1244"/>
      <c r="X139" s="1257"/>
      <c r="Y139" s="1255"/>
    </row>
    <row r="140" spans="2:25">
      <c r="B140" s="1108"/>
      <c r="C140" s="1084" t="s">
        <v>34</v>
      </c>
      <c r="D140" s="1203">
        <v>23</v>
      </c>
      <c r="E140" s="1085" t="s">
        <v>525</v>
      </c>
      <c r="F140" s="1232">
        <f t="shared" si="29"/>
        <v>57000</v>
      </c>
      <c r="G140" s="1232">
        <f t="shared" si="30"/>
        <v>0</v>
      </c>
      <c r="H140" s="1244"/>
      <c r="I140" s="1239"/>
      <c r="J140" s="1239"/>
      <c r="K140" s="1239"/>
      <c r="L140" s="1239"/>
      <c r="M140" s="1232">
        <f t="shared" si="31"/>
        <v>57000</v>
      </c>
      <c r="N140" s="1238"/>
      <c r="O140" s="1238"/>
      <c r="P140" s="1238"/>
      <c r="Q140" s="1244"/>
      <c r="R140" s="1244"/>
      <c r="S140" s="1244"/>
      <c r="T140" s="1244">
        <v>57000</v>
      </c>
      <c r="U140" s="1244"/>
      <c r="V140" s="1244"/>
      <c r="W140" s="1244"/>
      <c r="X140" s="1257"/>
      <c r="Y140" s="1255"/>
    </row>
    <row r="141" spans="2:25" ht="36">
      <c r="B141" s="1108"/>
      <c r="C141" s="1084" t="s">
        <v>34</v>
      </c>
      <c r="D141" s="1203">
        <v>24</v>
      </c>
      <c r="E141" s="1085" t="s">
        <v>526</v>
      </c>
      <c r="F141" s="1232">
        <f t="shared" si="29"/>
        <v>23375</v>
      </c>
      <c r="G141" s="1232">
        <f t="shared" si="30"/>
        <v>0</v>
      </c>
      <c r="H141" s="1244"/>
      <c r="I141" s="1239"/>
      <c r="J141" s="1239"/>
      <c r="K141" s="1239"/>
      <c r="L141" s="1239"/>
      <c r="M141" s="1232">
        <f t="shared" si="31"/>
        <v>23375</v>
      </c>
      <c r="N141" s="1238"/>
      <c r="O141" s="1238"/>
      <c r="P141" s="1238"/>
      <c r="Q141" s="1244"/>
      <c r="R141" s="1244"/>
      <c r="S141" s="1244"/>
      <c r="T141" s="1244">
        <v>10770</v>
      </c>
      <c r="U141" s="1244"/>
      <c r="V141" s="1244">
        <v>7805</v>
      </c>
      <c r="W141" s="1244">
        <v>2400</v>
      </c>
      <c r="X141" s="1257">
        <v>2400</v>
      </c>
      <c r="Y141" s="1255"/>
    </row>
    <row r="142" spans="2:25" ht="24">
      <c r="B142" s="1108"/>
      <c r="C142" s="1084" t="s">
        <v>34</v>
      </c>
      <c r="D142" s="1203">
        <v>25</v>
      </c>
      <c r="E142" s="1085" t="s">
        <v>527</v>
      </c>
      <c r="F142" s="1232">
        <f t="shared" si="29"/>
        <v>111180</v>
      </c>
      <c r="G142" s="1232">
        <f t="shared" si="30"/>
        <v>5000</v>
      </c>
      <c r="H142" s="1244">
        <v>5000</v>
      </c>
      <c r="I142" s="1239"/>
      <c r="J142" s="1239"/>
      <c r="K142" s="1239"/>
      <c r="L142" s="1239"/>
      <c r="M142" s="1232">
        <f t="shared" si="31"/>
        <v>106180</v>
      </c>
      <c r="N142" s="1238"/>
      <c r="O142" s="1238"/>
      <c r="P142" s="1238"/>
      <c r="Q142" s="1244"/>
      <c r="R142" s="1244">
        <v>25480</v>
      </c>
      <c r="S142" s="1244"/>
      <c r="T142" s="1244">
        <v>68000</v>
      </c>
      <c r="U142" s="1244"/>
      <c r="V142" s="1244"/>
      <c r="W142" s="1244">
        <v>5500</v>
      </c>
      <c r="X142" s="1257">
        <v>7200</v>
      </c>
      <c r="Y142" s="1255"/>
    </row>
    <row r="143" spans="2:25">
      <c r="B143" s="1108"/>
      <c r="C143" s="1084" t="s">
        <v>34</v>
      </c>
      <c r="D143" s="1203">
        <v>26</v>
      </c>
      <c r="E143" s="1118" t="s">
        <v>528</v>
      </c>
      <c r="F143" s="1232">
        <f t="shared" si="29"/>
        <v>105100</v>
      </c>
      <c r="G143" s="1232">
        <f t="shared" si="30"/>
        <v>50000</v>
      </c>
      <c r="H143" s="1244">
        <v>50000</v>
      </c>
      <c r="I143" s="1239"/>
      <c r="J143" s="1239"/>
      <c r="K143" s="1239"/>
      <c r="L143" s="1239"/>
      <c r="M143" s="1232">
        <f t="shared" si="31"/>
        <v>55100</v>
      </c>
      <c r="N143" s="1238"/>
      <c r="O143" s="1238"/>
      <c r="P143" s="1238"/>
      <c r="Q143" s="1244"/>
      <c r="R143" s="1244">
        <v>40000</v>
      </c>
      <c r="S143" s="1244">
        <v>15100</v>
      </c>
      <c r="T143" s="1244"/>
      <c r="U143" s="1244"/>
      <c r="V143" s="1244"/>
      <c r="W143" s="1244"/>
      <c r="X143" s="1257"/>
      <c r="Y143" s="1255"/>
    </row>
    <row r="144" spans="2:25" ht="36">
      <c r="B144" s="1108"/>
      <c r="C144" s="1084" t="s">
        <v>34</v>
      </c>
      <c r="D144" s="1203">
        <v>27</v>
      </c>
      <c r="E144" s="1085" t="s">
        <v>529</v>
      </c>
      <c r="F144" s="1232"/>
      <c r="G144" s="1232"/>
      <c r="H144" s="1244"/>
      <c r="I144" s="1239"/>
      <c r="J144" s="1239"/>
      <c r="K144" s="1239"/>
      <c r="L144" s="1239"/>
      <c r="M144" s="1232"/>
      <c r="N144" s="1238"/>
      <c r="O144" s="1238"/>
      <c r="P144" s="1238"/>
      <c r="Q144" s="1244"/>
      <c r="R144" s="1244"/>
      <c r="S144" s="1244"/>
      <c r="T144" s="1244"/>
      <c r="U144" s="1244"/>
      <c r="V144" s="1244"/>
      <c r="W144" s="1244"/>
      <c r="X144" s="1257"/>
      <c r="Y144" s="1255"/>
    </row>
    <row r="145" spans="1:25" ht="24">
      <c r="B145" s="1108"/>
      <c r="C145" s="1084" t="s">
        <v>34</v>
      </c>
      <c r="D145" s="1203">
        <v>28</v>
      </c>
      <c r="E145" s="1085" t="s">
        <v>530</v>
      </c>
      <c r="F145" s="1232">
        <f t="shared" si="29"/>
        <v>30000</v>
      </c>
      <c r="G145" s="1232">
        <f t="shared" si="30"/>
        <v>30000</v>
      </c>
      <c r="H145" s="1244">
        <v>30000</v>
      </c>
      <c r="I145" s="1239"/>
      <c r="J145" s="1239"/>
      <c r="K145" s="1239"/>
      <c r="L145" s="1239"/>
      <c r="M145" s="1232">
        <f t="shared" si="31"/>
        <v>0</v>
      </c>
      <c r="N145" s="1238"/>
      <c r="O145" s="1238"/>
      <c r="P145" s="1238"/>
      <c r="Q145" s="1244"/>
      <c r="R145" s="1244"/>
      <c r="S145" s="1244"/>
      <c r="T145" s="1244"/>
      <c r="U145" s="1244"/>
      <c r="V145" s="1244"/>
      <c r="W145" s="1244"/>
      <c r="X145" s="1257"/>
      <c r="Y145" s="1255"/>
    </row>
    <row r="146" spans="1:25" ht="24">
      <c r="B146" s="1108"/>
      <c r="C146" s="1084" t="s">
        <v>34</v>
      </c>
      <c r="D146" s="1203">
        <v>29</v>
      </c>
      <c r="E146" s="1085" t="s">
        <v>531</v>
      </c>
      <c r="F146" s="1232">
        <f t="shared" si="29"/>
        <v>25000</v>
      </c>
      <c r="G146" s="1232">
        <f t="shared" si="30"/>
        <v>25000</v>
      </c>
      <c r="H146" s="1244">
        <v>25000</v>
      </c>
      <c r="I146" s="1239"/>
      <c r="J146" s="1239"/>
      <c r="K146" s="1239"/>
      <c r="L146" s="1239"/>
      <c r="M146" s="1232">
        <f t="shared" si="31"/>
        <v>0</v>
      </c>
      <c r="N146" s="1238"/>
      <c r="O146" s="1238"/>
      <c r="P146" s="1238"/>
      <c r="Q146" s="1244"/>
      <c r="R146" s="1244"/>
      <c r="S146" s="1244"/>
      <c r="T146" s="1244"/>
      <c r="U146" s="1244"/>
      <c r="V146" s="1244"/>
      <c r="W146" s="1244"/>
      <c r="X146" s="1257"/>
      <c r="Y146" s="1255"/>
    </row>
    <row r="147" spans="1:25">
      <c r="B147" s="1108"/>
      <c r="C147" s="1084" t="s">
        <v>34</v>
      </c>
      <c r="D147" s="1203">
        <v>30</v>
      </c>
      <c r="E147" s="1085" t="s">
        <v>532</v>
      </c>
      <c r="F147" s="1232">
        <f t="shared" si="29"/>
        <v>5000</v>
      </c>
      <c r="G147" s="1232">
        <f t="shared" si="30"/>
        <v>5000</v>
      </c>
      <c r="H147" s="1244">
        <v>5000</v>
      </c>
      <c r="I147" s="1239"/>
      <c r="J147" s="1239"/>
      <c r="K147" s="1239"/>
      <c r="L147" s="1239"/>
      <c r="M147" s="1232">
        <f t="shared" si="31"/>
        <v>0</v>
      </c>
      <c r="N147" s="1238"/>
      <c r="O147" s="1238"/>
      <c r="P147" s="1238"/>
      <c r="Q147" s="1244"/>
      <c r="R147" s="1244"/>
      <c r="S147" s="1244"/>
      <c r="T147" s="1244"/>
      <c r="U147" s="1244"/>
      <c r="V147" s="1244"/>
      <c r="W147" s="1244"/>
      <c r="X147" s="1257"/>
      <c r="Y147" s="1255"/>
    </row>
    <row r="148" spans="1:25" s="1075" customFormat="1" ht="48">
      <c r="A148" s="1075">
        <v>3</v>
      </c>
      <c r="B148" s="1119">
        <v>3</v>
      </c>
      <c r="C148" s="1077" t="s">
        <v>34</v>
      </c>
      <c r="D148" s="1303"/>
      <c r="E148" s="1286" t="s">
        <v>235</v>
      </c>
      <c r="F148" s="1249">
        <f t="shared" si="29"/>
        <v>2052662.2039999999</v>
      </c>
      <c r="G148" s="1249">
        <f t="shared" si="30"/>
        <v>721080</v>
      </c>
      <c r="H148" s="1233">
        <f>H149+H162+H185+H204</f>
        <v>721080</v>
      </c>
      <c r="I148" s="1233">
        <f t="shared" ref="I148:L148" si="32">I149+I162+I185+I204</f>
        <v>0</v>
      </c>
      <c r="J148" s="1233">
        <f t="shared" si="32"/>
        <v>0</v>
      </c>
      <c r="K148" s="1233">
        <f t="shared" si="32"/>
        <v>0</v>
      </c>
      <c r="L148" s="1233">
        <f t="shared" si="32"/>
        <v>0</v>
      </c>
      <c r="M148" s="1249">
        <f t="shared" si="31"/>
        <v>1331582.2039999999</v>
      </c>
      <c r="N148" s="1233">
        <f t="shared" ref="N148:Y148" si="33">N149+N162+N185+N204</f>
        <v>173466</v>
      </c>
      <c r="O148" s="1233">
        <f t="shared" si="33"/>
        <v>108594.204</v>
      </c>
      <c r="P148" s="1233">
        <f t="shared" si="33"/>
        <v>109844</v>
      </c>
      <c r="Q148" s="1233">
        <f t="shared" si="33"/>
        <v>129841</v>
      </c>
      <c r="R148" s="1233">
        <f t="shared" si="33"/>
        <v>95786</v>
      </c>
      <c r="S148" s="1233">
        <f t="shared" si="33"/>
        <v>65890</v>
      </c>
      <c r="T148" s="1233">
        <f t="shared" si="33"/>
        <v>103915</v>
      </c>
      <c r="U148" s="1233">
        <f t="shared" si="33"/>
        <v>197720</v>
      </c>
      <c r="V148" s="1233">
        <f t="shared" si="33"/>
        <v>178096</v>
      </c>
      <c r="W148" s="1233">
        <f t="shared" si="33"/>
        <v>46380</v>
      </c>
      <c r="X148" s="1233">
        <f t="shared" si="33"/>
        <v>20580</v>
      </c>
      <c r="Y148" s="1233">
        <f t="shared" si="33"/>
        <v>101470</v>
      </c>
    </row>
    <row r="149" spans="1:25" s="1078" customFormat="1" ht="24">
      <c r="A149" s="1078" t="s">
        <v>806</v>
      </c>
      <c r="B149" s="1094" t="s">
        <v>245</v>
      </c>
      <c r="C149" s="1080" t="s">
        <v>34</v>
      </c>
      <c r="D149" s="1431"/>
      <c r="E149" s="1290" t="s">
        <v>23</v>
      </c>
      <c r="F149" s="1235">
        <f t="shared" si="29"/>
        <v>280620</v>
      </c>
      <c r="G149" s="1235">
        <f t="shared" si="30"/>
        <v>62800</v>
      </c>
      <c r="H149" s="1236">
        <f>SUM(H150:H161)</f>
        <v>62800</v>
      </c>
      <c r="I149" s="1237">
        <f t="shared" ref="I149:Y149" si="34">SUM(I150:I161)</f>
        <v>0</v>
      </c>
      <c r="J149" s="1237">
        <f t="shared" si="34"/>
        <v>0</v>
      </c>
      <c r="K149" s="1237">
        <f t="shared" si="34"/>
        <v>0</v>
      </c>
      <c r="L149" s="1237">
        <f t="shared" si="34"/>
        <v>0</v>
      </c>
      <c r="M149" s="1235">
        <f t="shared" si="31"/>
        <v>217820</v>
      </c>
      <c r="N149" s="1236">
        <f t="shared" si="34"/>
        <v>41700</v>
      </c>
      <c r="O149" s="1236">
        <f t="shared" si="34"/>
        <v>51100</v>
      </c>
      <c r="P149" s="1236">
        <f t="shared" si="34"/>
        <v>36360</v>
      </c>
      <c r="Q149" s="1236">
        <f t="shared" si="34"/>
        <v>12600</v>
      </c>
      <c r="R149" s="1236">
        <f t="shared" si="34"/>
        <v>17500</v>
      </c>
      <c r="S149" s="1236">
        <f t="shared" si="34"/>
        <v>1700</v>
      </c>
      <c r="T149" s="1236">
        <f t="shared" si="34"/>
        <v>19560</v>
      </c>
      <c r="U149" s="1236">
        <f t="shared" si="34"/>
        <v>14880</v>
      </c>
      <c r="V149" s="1236">
        <f t="shared" si="34"/>
        <v>12760</v>
      </c>
      <c r="W149" s="1236">
        <f t="shared" si="34"/>
        <v>7500</v>
      </c>
      <c r="X149" s="1236">
        <f t="shared" si="34"/>
        <v>2160</v>
      </c>
      <c r="Y149" s="1236">
        <f t="shared" si="34"/>
        <v>0</v>
      </c>
    </row>
    <row r="150" spans="1:25" s="1088" customFormat="1" ht="48">
      <c r="B150" s="1092"/>
      <c r="C150" s="1084" t="s">
        <v>34</v>
      </c>
      <c r="D150" s="1203">
        <v>1</v>
      </c>
      <c r="E150" s="1115" t="s">
        <v>663</v>
      </c>
      <c r="F150" s="1258"/>
      <c r="G150" s="1258"/>
      <c r="H150" s="1238"/>
      <c r="I150" s="1239"/>
      <c r="J150" s="1239"/>
      <c r="K150" s="1239"/>
      <c r="L150" s="1239"/>
      <c r="M150" s="1258"/>
      <c r="N150" s="1238"/>
      <c r="O150" s="1238"/>
      <c r="P150" s="1242"/>
      <c r="Q150" s="1238"/>
      <c r="R150" s="1238"/>
      <c r="S150" s="1238"/>
      <c r="T150" s="1238"/>
      <c r="U150" s="1238"/>
      <c r="V150" s="1238"/>
      <c r="W150" s="1238"/>
      <c r="X150" s="1238"/>
      <c r="Y150" s="1238"/>
    </row>
    <row r="151" spans="1:25" s="1088" customFormat="1" ht="36">
      <c r="B151" s="1092"/>
      <c r="C151" s="1084" t="s">
        <v>34</v>
      </c>
      <c r="D151" s="1203">
        <v>2</v>
      </c>
      <c r="E151" s="1102" t="s">
        <v>430</v>
      </c>
      <c r="F151" s="1258">
        <f t="shared" si="29"/>
        <v>44080</v>
      </c>
      <c r="G151" s="1258">
        <f t="shared" si="30"/>
        <v>21520</v>
      </c>
      <c r="H151" s="1240">
        <v>21520</v>
      </c>
      <c r="I151" s="1239"/>
      <c r="J151" s="1239"/>
      <c r="K151" s="1239"/>
      <c r="L151" s="1239"/>
      <c r="M151" s="1258">
        <f t="shared" si="31"/>
        <v>22560</v>
      </c>
      <c r="N151" s="1240"/>
      <c r="O151" s="1238"/>
      <c r="P151" s="1240">
        <v>2360</v>
      </c>
      <c r="Q151" s="1240"/>
      <c r="R151" s="1240">
        <v>2500</v>
      </c>
      <c r="S151" s="1240">
        <v>1700</v>
      </c>
      <c r="T151" s="1240">
        <v>4000</v>
      </c>
      <c r="U151" s="1240"/>
      <c r="V151" s="1240">
        <v>10000</v>
      </c>
      <c r="W151" s="1240">
        <v>2000</v>
      </c>
      <c r="X151" s="1240"/>
      <c r="Y151" s="1240"/>
    </row>
    <row r="152" spans="1:25" s="1088" customFormat="1" ht="36">
      <c r="B152" s="1092"/>
      <c r="C152" s="1084" t="s">
        <v>34</v>
      </c>
      <c r="D152" s="1203">
        <v>3</v>
      </c>
      <c r="E152" s="1102" t="s">
        <v>431</v>
      </c>
      <c r="F152" s="1258">
        <f t="shared" si="29"/>
        <v>26960</v>
      </c>
      <c r="G152" s="1258">
        <f t="shared" si="30"/>
        <v>0</v>
      </c>
      <c r="H152" s="1240"/>
      <c r="I152" s="1239"/>
      <c r="J152" s="1239"/>
      <c r="K152" s="1239"/>
      <c r="L152" s="1239"/>
      <c r="M152" s="1258">
        <f t="shared" si="31"/>
        <v>26960</v>
      </c>
      <c r="N152" s="1240">
        <v>3300</v>
      </c>
      <c r="O152" s="1238">
        <v>2500</v>
      </c>
      <c r="P152" s="1240"/>
      <c r="Q152" s="1240">
        <v>4600</v>
      </c>
      <c r="R152" s="1240"/>
      <c r="S152" s="1240"/>
      <c r="T152" s="1240">
        <v>5560</v>
      </c>
      <c r="U152" s="1240">
        <v>3280</v>
      </c>
      <c r="V152" s="1240">
        <v>2760</v>
      </c>
      <c r="W152" s="1240">
        <v>2800</v>
      </c>
      <c r="X152" s="1240">
        <v>2160</v>
      </c>
      <c r="Y152" s="1240"/>
    </row>
    <row r="153" spans="1:25" s="1088" customFormat="1" ht="36">
      <c r="B153" s="1092"/>
      <c r="C153" s="1084" t="s">
        <v>34</v>
      </c>
      <c r="D153" s="1203">
        <v>4</v>
      </c>
      <c r="E153" s="1102" t="s">
        <v>432</v>
      </c>
      <c r="F153" s="1258">
        <f t="shared" si="29"/>
        <v>67480</v>
      </c>
      <c r="G153" s="1258">
        <f t="shared" si="30"/>
        <v>41280</v>
      </c>
      <c r="H153" s="1240">
        <v>41280</v>
      </c>
      <c r="I153" s="1239"/>
      <c r="J153" s="1239"/>
      <c r="K153" s="1239"/>
      <c r="L153" s="1239"/>
      <c r="M153" s="1258">
        <f t="shared" si="31"/>
        <v>26200</v>
      </c>
      <c r="N153" s="1240"/>
      <c r="O153" s="1238">
        <v>8500</v>
      </c>
      <c r="P153" s="1240"/>
      <c r="Q153" s="1240"/>
      <c r="R153" s="1240">
        <v>15000</v>
      </c>
      <c r="S153" s="1240"/>
      <c r="T153" s="1240"/>
      <c r="U153" s="1240"/>
      <c r="V153" s="1240"/>
      <c r="W153" s="1240">
        <v>2700</v>
      </c>
      <c r="X153" s="1240"/>
      <c r="Y153" s="1240"/>
    </row>
    <row r="154" spans="1:25" s="1088" customFormat="1" ht="24">
      <c r="B154" s="1092"/>
      <c r="C154" s="1084" t="s">
        <v>34</v>
      </c>
      <c r="D154" s="1203">
        <v>5</v>
      </c>
      <c r="E154" s="1096" t="s">
        <v>433</v>
      </c>
      <c r="F154" s="1258"/>
      <c r="G154" s="1258"/>
      <c r="H154" s="1240"/>
      <c r="I154" s="1239"/>
      <c r="J154" s="1239"/>
      <c r="K154" s="1239"/>
      <c r="L154" s="1239"/>
      <c r="M154" s="1258"/>
      <c r="N154" s="1240"/>
      <c r="O154" s="1238"/>
      <c r="P154" s="1240"/>
      <c r="Q154" s="1240"/>
      <c r="R154" s="1240"/>
      <c r="S154" s="1240"/>
      <c r="T154" s="1240"/>
      <c r="U154" s="1240"/>
      <c r="V154" s="1240"/>
      <c r="W154" s="1240"/>
      <c r="X154" s="1240"/>
      <c r="Y154" s="1240"/>
    </row>
    <row r="155" spans="1:25" s="1088" customFormat="1" ht="48">
      <c r="B155" s="1092"/>
      <c r="C155" s="1084" t="s">
        <v>34</v>
      </c>
      <c r="D155" s="1203">
        <v>6</v>
      </c>
      <c r="E155" s="1105" t="s">
        <v>434</v>
      </c>
      <c r="F155" s="1258"/>
      <c r="G155" s="1258"/>
      <c r="H155" s="1240"/>
      <c r="I155" s="1239"/>
      <c r="J155" s="1239"/>
      <c r="K155" s="1239"/>
      <c r="L155" s="1239"/>
      <c r="M155" s="1258"/>
      <c r="N155" s="1240"/>
      <c r="O155" s="1238"/>
      <c r="P155" s="1240"/>
      <c r="Q155" s="1240"/>
      <c r="R155" s="1240"/>
      <c r="S155" s="1240"/>
      <c r="T155" s="1240"/>
      <c r="U155" s="1240"/>
      <c r="V155" s="1240"/>
      <c r="W155" s="1240"/>
      <c r="X155" s="1240"/>
      <c r="Y155" s="1240"/>
    </row>
    <row r="156" spans="1:25" s="1088" customFormat="1" ht="24">
      <c r="B156" s="1092"/>
      <c r="C156" s="1084" t="s">
        <v>34</v>
      </c>
      <c r="D156" s="1203">
        <v>7</v>
      </c>
      <c r="E156" s="1105" t="s">
        <v>435</v>
      </c>
      <c r="F156" s="1258"/>
      <c r="G156" s="1258"/>
      <c r="H156" s="1240"/>
      <c r="I156" s="1239"/>
      <c r="J156" s="1239"/>
      <c r="K156" s="1239"/>
      <c r="L156" s="1239"/>
      <c r="M156" s="1258"/>
      <c r="N156" s="1240"/>
      <c r="O156" s="1238"/>
      <c r="P156" s="1240"/>
      <c r="Q156" s="1240"/>
      <c r="R156" s="1240"/>
      <c r="S156" s="1240"/>
      <c r="T156" s="1240"/>
      <c r="U156" s="1240"/>
      <c r="V156" s="1240"/>
      <c r="W156" s="1240"/>
      <c r="X156" s="1240"/>
      <c r="Y156" s="1240"/>
    </row>
    <row r="157" spans="1:25" s="1088" customFormat="1" ht="24">
      <c r="B157" s="1092"/>
      <c r="C157" s="1084" t="s">
        <v>34</v>
      </c>
      <c r="D157" s="1203">
        <v>8</v>
      </c>
      <c r="E157" s="1105" t="s">
        <v>436</v>
      </c>
      <c r="F157" s="1258"/>
      <c r="G157" s="1258"/>
      <c r="H157" s="1240"/>
      <c r="I157" s="1239"/>
      <c r="J157" s="1239"/>
      <c r="K157" s="1239"/>
      <c r="L157" s="1239"/>
      <c r="M157" s="1258"/>
      <c r="N157" s="1240"/>
      <c r="O157" s="1238"/>
      <c r="P157" s="1240"/>
      <c r="Q157" s="1240"/>
      <c r="R157" s="1240"/>
      <c r="S157" s="1240"/>
      <c r="T157" s="1240"/>
      <c r="U157" s="1240"/>
      <c r="V157" s="1240"/>
      <c r="W157" s="1240"/>
      <c r="X157" s="1240"/>
      <c r="Y157" s="1240"/>
    </row>
    <row r="158" spans="1:25" s="1088" customFormat="1" ht="36">
      <c r="B158" s="1092"/>
      <c r="C158" s="1084" t="s">
        <v>34</v>
      </c>
      <c r="D158" s="1203">
        <v>9</v>
      </c>
      <c r="E158" s="1105" t="s">
        <v>437</v>
      </c>
      <c r="F158" s="1258">
        <f t="shared" si="29"/>
        <v>19600</v>
      </c>
      <c r="G158" s="1258">
        <f t="shared" si="30"/>
        <v>0</v>
      </c>
      <c r="H158" s="1240"/>
      <c r="I158" s="1239"/>
      <c r="J158" s="1239"/>
      <c r="K158" s="1239"/>
      <c r="L158" s="1239"/>
      <c r="M158" s="1258">
        <f t="shared" si="31"/>
        <v>19600</v>
      </c>
      <c r="N158" s="1240"/>
      <c r="O158" s="1238"/>
      <c r="P158" s="1240"/>
      <c r="Q158" s="1240">
        <v>8000</v>
      </c>
      <c r="R158" s="1240"/>
      <c r="S158" s="1240"/>
      <c r="T158" s="1240"/>
      <c r="U158" s="1240">
        <v>11600</v>
      </c>
      <c r="V158" s="1240"/>
      <c r="W158" s="1240"/>
      <c r="X158" s="1240"/>
      <c r="Y158" s="1240"/>
    </row>
    <row r="159" spans="1:25" s="1120" customFormat="1">
      <c r="B159" s="1121"/>
      <c r="C159" s="1122" t="s">
        <v>34</v>
      </c>
      <c r="D159" s="1203">
        <v>10</v>
      </c>
      <c r="E159" s="1096" t="s">
        <v>664</v>
      </c>
      <c r="F159" s="1259"/>
      <c r="G159" s="1259"/>
      <c r="H159" s="1260"/>
      <c r="I159" s="1261"/>
      <c r="J159" s="1261"/>
      <c r="K159" s="1261"/>
      <c r="L159" s="1261"/>
      <c r="M159" s="1259"/>
      <c r="N159" s="1260"/>
      <c r="O159" s="1262"/>
      <c r="P159" s="1260"/>
      <c r="Q159" s="1260"/>
      <c r="R159" s="1260"/>
      <c r="S159" s="1260"/>
      <c r="T159" s="1260"/>
      <c r="U159" s="1260"/>
      <c r="V159" s="1260"/>
      <c r="W159" s="1260"/>
      <c r="X159" s="1260"/>
      <c r="Y159" s="1260"/>
    </row>
    <row r="160" spans="1:25" s="1088" customFormat="1" ht="108">
      <c r="B160" s="1092"/>
      <c r="C160" s="1084" t="s">
        <v>34</v>
      </c>
      <c r="D160" s="1203">
        <v>11</v>
      </c>
      <c r="E160" s="1105" t="s">
        <v>439</v>
      </c>
      <c r="F160" s="1258">
        <f t="shared" si="29"/>
        <v>82400</v>
      </c>
      <c r="G160" s="1258">
        <f t="shared" si="30"/>
        <v>0</v>
      </c>
      <c r="H160" s="1240"/>
      <c r="I160" s="1239"/>
      <c r="J160" s="1239"/>
      <c r="K160" s="1239"/>
      <c r="L160" s="1239"/>
      <c r="M160" s="1258">
        <f t="shared" si="31"/>
        <v>82400</v>
      </c>
      <c r="N160" s="1240">
        <v>38400</v>
      </c>
      <c r="O160" s="1238"/>
      <c r="P160" s="1240">
        <v>34000</v>
      </c>
      <c r="Q160" s="1240"/>
      <c r="R160" s="1240"/>
      <c r="S160" s="1240"/>
      <c r="T160" s="1240">
        <v>10000</v>
      </c>
      <c r="U160" s="1240"/>
      <c r="V160" s="1240"/>
      <c r="W160" s="1240"/>
      <c r="X160" s="1240"/>
      <c r="Y160" s="1240"/>
    </row>
    <row r="161" spans="1:25" s="1088" customFormat="1" ht="36">
      <c r="B161" s="1092"/>
      <c r="C161" s="1084" t="s">
        <v>34</v>
      </c>
      <c r="D161" s="1203">
        <v>12</v>
      </c>
      <c r="E161" s="1085" t="s">
        <v>665</v>
      </c>
      <c r="F161" s="1258">
        <f t="shared" si="29"/>
        <v>40100</v>
      </c>
      <c r="G161" s="1258">
        <f t="shared" si="30"/>
        <v>0</v>
      </c>
      <c r="H161" s="1240"/>
      <c r="I161" s="1239"/>
      <c r="J161" s="1239"/>
      <c r="K161" s="1239"/>
      <c r="L161" s="1239"/>
      <c r="M161" s="1258">
        <f t="shared" si="31"/>
        <v>40100</v>
      </c>
      <c r="N161" s="1240"/>
      <c r="O161" s="1238">
        <v>40100</v>
      </c>
      <c r="P161" s="1240"/>
      <c r="Q161" s="1240"/>
      <c r="R161" s="1240"/>
      <c r="S161" s="1240"/>
      <c r="T161" s="1240"/>
      <c r="U161" s="1240"/>
      <c r="V161" s="1240"/>
      <c r="W161" s="1240"/>
      <c r="X161" s="1240"/>
      <c r="Y161" s="1240"/>
    </row>
    <row r="162" spans="1:25" s="1082" customFormat="1" ht="24">
      <c r="A162" s="1082" t="s">
        <v>807</v>
      </c>
      <c r="B162" s="1094" t="s">
        <v>246</v>
      </c>
      <c r="C162" s="1080" t="s">
        <v>34</v>
      </c>
      <c r="D162" s="1431"/>
      <c r="E162" s="1290" t="s">
        <v>304</v>
      </c>
      <c r="F162" s="1235">
        <f t="shared" si="29"/>
        <v>378040</v>
      </c>
      <c r="G162" s="1235">
        <f t="shared" si="30"/>
        <v>181000</v>
      </c>
      <c r="H162" s="1236">
        <f>SUM(H163:H184)</f>
        <v>181000</v>
      </c>
      <c r="I162" s="1237">
        <f t="shared" ref="I162:Y162" si="35">SUM(I163:I184)</f>
        <v>0</v>
      </c>
      <c r="J162" s="1237">
        <f t="shared" si="35"/>
        <v>0</v>
      </c>
      <c r="K162" s="1237">
        <f t="shared" si="35"/>
        <v>0</v>
      </c>
      <c r="L162" s="1237">
        <f t="shared" si="35"/>
        <v>0</v>
      </c>
      <c r="M162" s="1235">
        <f t="shared" si="31"/>
        <v>197040</v>
      </c>
      <c r="N162" s="1236">
        <f t="shared" si="35"/>
        <v>7875</v>
      </c>
      <c r="O162" s="1236">
        <f t="shared" si="35"/>
        <v>2160</v>
      </c>
      <c r="P162" s="1236">
        <f t="shared" si="35"/>
        <v>19180</v>
      </c>
      <c r="Q162" s="1236">
        <f t="shared" si="35"/>
        <v>9750</v>
      </c>
      <c r="R162" s="1236">
        <f t="shared" si="35"/>
        <v>32516</v>
      </c>
      <c r="S162" s="1236">
        <f t="shared" si="35"/>
        <v>30380</v>
      </c>
      <c r="T162" s="1236">
        <f t="shared" si="35"/>
        <v>12135</v>
      </c>
      <c r="U162" s="1236">
        <f t="shared" si="35"/>
        <v>14952</v>
      </c>
      <c r="V162" s="1236">
        <f t="shared" si="35"/>
        <v>32472</v>
      </c>
      <c r="W162" s="1236">
        <f t="shared" si="35"/>
        <v>10800</v>
      </c>
      <c r="X162" s="1236">
        <f t="shared" si="35"/>
        <v>7440</v>
      </c>
      <c r="Y162" s="1236">
        <f t="shared" si="35"/>
        <v>17380</v>
      </c>
    </row>
    <row r="163" spans="1:25" s="1088" customFormat="1" ht="60">
      <c r="B163" s="1092"/>
      <c r="C163" s="1084" t="s">
        <v>34</v>
      </c>
      <c r="D163" s="1203">
        <v>1</v>
      </c>
      <c r="E163" s="1115" t="s">
        <v>666</v>
      </c>
      <c r="F163" s="1258"/>
      <c r="G163" s="1258"/>
      <c r="H163" s="1238"/>
      <c r="I163" s="1239"/>
      <c r="J163" s="1239"/>
      <c r="K163" s="1239"/>
      <c r="L163" s="1239"/>
      <c r="M163" s="1258"/>
      <c r="N163" s="1238"/>
      <c r="O163" s="1238"/>
      <c r="P163" s="1242"/>
      <c r="Q163" s="1238"/>
      <c r="R163" s="1238"/>
      <c r="S163" s="1238"/>
      <c r="T163" s="1238"/>
      <c r="U163" s="1238"/>
      <c r="V163" s="1238"/>
      <c r="W163" s="1238"/>
      <c r="X163" s="1238"/>
      <c r="Y163" s="1238"/>
    </row>
    <row r="164" spans="1:25" s="1088" customFormat="1" ht="72">
      <c r="B164" s="1092"/>
      <c r="C164" s="1084" t="s">
        <v>34</v>
      </c>
      <c r="D164" s="1203">
        <v>2</v>
      </c>
      <c r="E164" s="1102" t="s">
        <v>74</v>
      </c>
      <c r="F164" s="1258">
        <f t="shared" si="29"/>
        <v>70770</v>
      </c>
      <c r="G164" s="1258">
        <f t="shared" si="30"/>
        <v>16740</v>
      </c>
      <c r="H164" s="1240">
        <v>16740</v>
      </c>
      <c r="I164" s="1239"/>
      <c r="J164" s="1239"/>
      <c r="K164" s="1239"/>
      <c r="L164" s="1239"/>
      <c r="M164" s="1258">
        <f t="shared" si="31"/>
        <v>54030</v>
      </c>
      <c r="N164" s="1240">
        <v>6600</v>
      </c>
      <c r="O164" s="1238"/>
      <c r="P164" s="1240">
        <v>1180</v>
      </c>
      <c r="Q164" s="1240">
        <v>4600</v>
      </c>
      <c r="R164" s="1238">
        <v>2850</v>
      </c>
      <c r="S164" s="1240">
        <v>13740</v>
      </c>
      <c r="T164" s="1240">
        <v>5300</v>
      </c>
      <c r="U164" s="1238">
        <v>3200</v>
      </c>
      <c r="V164" s="1238">
        <v>5760</v>
      </c>
      <c r="W164" s="1251">
        <v>2860</v>
      </c>
      <c r="X164" s="1240">
        <v>4800</v>
      </c>
      <c r="Y164" s="1238">
        <v>3140</v>
      </c>
    </row>
    <row r="165" spans="1:25" s="1088" customFormat="1" ht="60">
      <c r="B165" s="1092"/>
      <c r="C165" s="1084" t="s">
        <v>34</v>
      </c>
      <c r="D165" s="1203">
        <v>3</v>
      </c>
      <c r="E165" s="1102" t="s">
        <v>75</v>
      </c>
      <c r="F165" s="1258"/>
      <c r="G165" s="1258"/>
      <c r="H165" s="1251"/>
      <c r="I165" s="1239"/>
      <c r="J165" s="1239"/>
      <c r="K165" s="1239"/>
      <c r="L165" s="1239"/>
      <c r="M165" s="1258"/>
      <c r="N165" s="1240"/>
      <c r="O165" s="1238"/>
      <c r="P165" s="1240"/>
      <c r="Q165" s="1251"/>
      <c r="R165" s="1255"/>
      <c r="S165" s="1251"/>
      <c r="T165" s="1240"/>
      <c r="U165" s="1255"/>
      <c r="V165" s="1238"/>
      <c r="W165" s="1251"/>
      <c r="X165" s="1240"/>
      <c r="Y165" s="1255"/>
    </row>
    <row r="166" spans="1:25" s="1088" customFormat="1" ht="24">
      <c r="B166" s="1092"/>
      <c r="C166" s="1084" t="s">
        <v>34</v>
      </c>
      <c r="D166" s="1203">
        <v>4</v>
      </c>
      <c r="E166" s="1103" t="s">
        <v>667</v>
      </c>
      <c r="F166" s="1258"/>
      <c r="G166" s="1258"/>
      <c r="H166" s="1251"/>
      <c r="I166" s="1239"/>
      <c r="J166" s="1239"/>
      <c r="K166" s="1239"/>
      <c r="L166" s="1239"/>
      <c r="M166" s="1258"/>
      <c r="N166" s="1240"/>
      <c r="O166" s="1238"/>
      <c r="P166" s="1240"/>
      <c r="Q166" s="1251"/>
      <c r="R166" s="1255"/>
      <c r="S166" s="1251"/>
      <c r="T166" s="1240"/>
      <c r="U166" s="1255"/>
      <c r="V166" s="1238"/>
      <c r="W166" s="1240"/>
      <c r="X166" s="1238"/>
      <c r="Y166" s="1255"/>
    </row>
    <row r="167" spans="1:25" s="1088" customFormat="1" ht="24">
      <c r="B167" s="1092"/>
      <c r="C167" s="1084" t="s">
        <v>34</v>
      </c>
      <c r="D167" s="1203">
        <v>5</v>
      </c>
      <c r="E167" s="1102" t="s">
        <v>77</v>
      </c>
      <c r="F167" s="1258">
        <f t="shared" si="29"/>
        <v>16335</v>
      </c>
      <c r="G167" s="1258">
        <f t="shared" si="30"/>
        <v>10000</v>
      </c>
      <c r="H167" s="1240">
        <v>10000</v>
      </c>
      <c r="I167" s="1239"/>
      <c r="J167" s="1239"/>
      <c r="K167" s="1239"/>
      <c r="L167" s="1239"/>
      <c r="M167" s="1258">
        <f t="shared" si="31"/>
        <v>6335</v>
      </c>
      <c r="N167" s="1240"/>
      <c r="O167" s="1238"/>
      <c r="P167" s="1251">
        <v>1400</v>
      </c>
      <c r="Q167" s="1251"/>
      <c r="R167" s="1255"/>
      <c r="S167" s="1240"/>
      <c r="T167" s="1240">
        <v>2235</v>
      </c>
      <c r="U167" s="1240"/>
      <c r="V167" s="1238">
        <v>500</v>
      </c>
      <c r="W167" s="1240"/>
      <c r="X167" s="1238">
        <v>1200</v>
      </c>
      <c r="Y167" s="1255">
        <v>1000</v>
      </c>
    </row>
    <row r="168" spans="1:25" s="1088" customFormat="1" ht="24">
      <c r="B168" s="1092"/>
      <c r="C168" s="1084" t="s">
        <v>34</v>
      </c>
      <c r="D168" s="1203">
        <v>6</v>
      </c>
      <c r="E168" s="1102" t="s">
        <v>78</v>
      </c>
      <c r="F168" s="1258">
        <f t="shared" si="29"/>
        <v>28800</v>
      </c>
      <c r="G168" s="1258">
        <f t="shared" si="30"/>
        <v>0</v>
      </c>
      <c r="H168" s="1240"/>
      <c r="I168" s="1239"/>
      <c r="J168" s="1239"/>
      <c r="K168" s="1239"/>
      <c r="L168" s="1239"/>
      <c r="M168" s="1258">
        <f t="shared" si="31"/>
        <v>28800</v>
      </c>
      <c r="N168" s="1240">
        <v>300</v>
      </c>
      <c r="O168" s="1238"/>
      <c r="P168" s="1240">
        <v>15000</v>
      </c>
      <c r="Q168" s="1240"/>
      <c r="R168" s="1255">
        <v>8000</v>
      </c>
      <c r="S168" s="1240">
        <v>4000</v>
      </c>
      <c r="T168" s="1240"/>
      <c r="U168" s="1240"/>
      <c r="V168" s="1238">
        <v>100</v>
      </c>
      <c r="W168" s="1240"/>
      <c r="X168" s="1238"/>
      <c r="Y168" s="1255">
        <v>1400</v>
      </c>
    </row>
    <row r="169" spans="1:25" s="1088" customFormat="1">
      <c r="B169" s="1092"/>
      <c r="C169" s="1084" t="s">
        <v>34</v>
      </c>
      <c r="D169" s="1203">
        <v>7</v>
      </c>
      <c r="E169" s="1102" t="s">
        <v>79</v>
      </c>
      <c r="F169" s="1258">
        <f t="shared" si="29"/>
        <v>14875</v>
      </c>
      <c r="G169" s="1258">
        <f t="shared" si="30"/>
        <v>0</v>
      </c>
      <c r="H169" s="1251"/>
      <c r="I169" s="1239"/>
      <c r="J169" s="1239"/>
      <c r="K169" s="1239"/>
      <c r="L169" s="1239"/>
      <c r="M169" s="1258">
        <f t="shared" si="31"/>
        <v>14875</v>
      </c>
      <c r="N169" s="1240">
        <v>975</v>
      </c>
      <c r="O169" s="1238"/>
      <c r="P169" s="1240"/>
      <c r="Q169" s="1251"/>
      <c r="R169" s="1255">
        <v>8000</v>
      </c>
      <c r="S169" s="1240">
        <v>4000</v>
      </c>
      <c r="T169" s="1240"/>
      <c r="U169" s="1240"/>
      <c r="V169" s="1238">
        <v>500</v>
      </c>
      <c r="W169" s="1240"/>
      <c r="X169" s="1238"/>
      <c r="Y169" s="1238">
        <v>1400</v>
      </c>
    </row>
    <row r="170" spans="1:25" s="1088" customFormat="1" ht="24">
      <c r="B170" s="1092"/>
      <c r="C170" s="1084" t="s">
        <v>34</v>
      </c>
      <c r="D170" s="1203">
        <v>8</v>
      </c>
      <c r="E170" s="1102" t="s">
        <v>80</v>
      </c>
      <c r="F170" s="1258">
        <f t="shared" si="29"/>
        <v>19200</v>
      </c>
      <c r="G170" s="1258">
        <f t="shared" si="30"/>
        <v>10000</v>
      </c>
      <c r="H170" s="1240">
        <v>10000</v>
      </c>
      <c r="I170" s="1239"/>
      <c r="J170" s="1239"/>
      <c r="K170" s="1239"/>
      <c r="L170" s="1239"/>
      <c r="M170" s="1258">
        <f t="shared" si="31"/>
        <v>9200</v>
      </c>
      <c r="N170" s="1240"/>
      <c r="O170" s="1238">
        <v>1200</v>
      </c>
      <c r="P170" s="1240"/>
      <c r="Q170" s="1240"/>
      <c r="R170" s="1255"/>
      <c r="S170" s="1240"/>
      <c r="T170" s="1240"/>
      <c r="U170" s="1240"/>
      <c r="V170" s="1238">
        <v>2000</v>
      </c>
      <c r="W170" s="1240"/>
      <c r="X170" s="1238"/>
      <c r="Y170" s="1255">
        <v>6000</v>
      </c>
    </row>
    <row r="171" spans="1:25" s="1095" customFormat="1" ht="24">
      <c r="B171" s="1124"/>
      <c r="C171" s="1125" t="s">
        <v>34</v>
      </c>
      <c r="D171" s="1203">
        <v>9</v>
      </c>
      <c r="E171" s="1291" t="s">
        <v>442</v>
      </c>
      <c r="F171" s="1263">
        <f t="shared" si="29"/>
        <v>3000</v>
      </c>
      <c r="G171" s="1263">
        <f t="shared" si="30"/>
        <v>0</v>
      </c>
      <c r="H171" s="1248"/>
      <c r="I171" s="1250"/>
      <c r="J171" s="1250"/>
      <c r="K171" s="1250"/>
      <c r="L171" s="1250"/>
      <c r="M171" s="1263">
        <f t="shared" si="31"/>
        <v>3000</v>
      </c>
      <c r="N171" s="1248">
        <f>SUM(N172:N176)</f>
        <v>0</v>
      </c>
      <c r="O171" s="1247"/>
      <c r="P171" s="1248">
        <f>SUM(P172:P176)</f>
        <v>0</v>
      </c>
      <c r="Q171" s="1248"/>
      <c r="R171" s="1264">
        <f>SUM(R172:R176)</f>
        <v>0</v>
      </c>
      <c r="S171" s="1248">
        <f>SUM(S172:S176)</f>
        <v>0</v>
      </c>
      <c r="T171" s="1248"/>
      <c r="U171" s="1248"/>
      <c r="V171" s="1247">
        <f>SUM(V172:V176)</f>
        <v>3000</v>
      </c>
      <c r="W171" s="1248"/>
      <c r="X171" s="1247">
        <f>SUM(X172:X176)</f>
        <v>0</v>
      </c>
      <c r="Y171" s="1264"/>
    </row>
    <row r="172" spans="1:25" s="1088" customFormat="1" ht="24">
      <c r="B172" s="1092"/>
      <c r="C172" s="1084" t="s">
        <v>34</v>
      </c>
      <c r="D172" s="1203">
        <v>10</v>
      </c>
      <c r="E172" s="1102" t="s">
        <v>81</v>
      </c>
      <c r="F172" s="1258"/>
      <c r="G172" s="1258"/>
      <c r="H172" s="1240"/>
      <c r="I172" s="1239"/>
      <c r="J172" s="1239"/>
      <c r="K172" s="1239"/>
      <c r="L172" s="1239"/>
      <c r="M172" s="1258"/>
      <c r="N172" s="1240"/>
      <c r="O172" s="1238"/>
      <c r="P172" s="1240"/>
      <c r="Q172" s="1240"/>
      <c r="R172" s="1255"/>
      <c r="S172" s="1240"/>
      <c r="T172" s="1240"/>
      <c r="U172" s="1240"/>
      <c r="V172" s="1238"/>
      <c r="W172" s="1240"/>
      <c r="X172" s="1238"/>
      <c r="Y172" s="1255"/>
    </row>
    <row r="173" spans="1:25" s="1088" customFormat="1" ht="24">
      <c r="B173" s="1092"/>
      <c r="C173" s="1084" t="s">
        <v>34</v>
      </c>
      <c r="D173" s="1203">
        <v>11</v>
      </c>
      <c r="E173" s="1102" t="s">
        <v>82</v>
      </c>
      <c r="F173" s="1258"/>
      <c r="G173" s="1258"/>
      <c r="H173" s="1240"/>
      <c r="I173" s="1239"/>
      <c r="J173" s="1239"/>
      <c r="K173" s="1239"/>
      <c r="L173" s="1239"/>
      <c r="M173" s="1258"/>
      <c r="N173" s="1240"/>
      <c r="O173" s="1238"/>
      <c r="P173" s="1240"/>
      <c r="Q173" s="1240"/>
      <c r="R173" s="1255"/>
      <c r="S173" s="1240"/>
      <c r="T173" s="1240"/>
      <c r="U173" s="1240"/>
      <c r="V173" s="1238"/>
      <c r="W173" s="1240"/>
      <c r="X173" s="1238"/>
      <c r="Y173" s="1255"/>
    </row>
    <row r="174" spans="1:25" s="1088" customFormat="1" ht="24">
      <c r="B174" s="1092"/>
      <c r="C174" s="1084" t="s">
        <v>34</v>
      </c>
      <c r="D174" s="1203">
        <v>12</v>
      </c>
      <c r="E174" s="1102" t="s">
        <v>83</v>
      </c>
      <c r="F174" s="1258">
        <f t="shared" si="29"/>
        <v>5400</v>
      </c>
      <c r="G174" s="1258">
        <f t="shared" si="30"/>
        <v>0</v>
      </c>
      <c r="H174" s="1240"/>
      <c r="I174" s="1239"/>
      <c r="J174" s="1239"/>
      <c r="K174" s="1239"/>
      <c r="L174" s="1239"/>
      <c r="M174" s="1258">
        <f t="shared" si="31"/>
        <v>5400</v>
      </c>
      <c r="N174" s="1240"/>
      <c r="O174" s="1238"/>
      <c r="P174" s="1240"/>
      <c r="Q174" s="1240"/>
      <c r="R174" s="1255"/>
      <c r="S174" s="1240"/>
      <c r="T174" s="1240"/>
      <c r="U174" s="1240"/>
      <c r="V174" s="1238">
        <v>2400</v>
      </c>
      <c r="W174" s="1240"/>
      <c r="X174" s="1238"/>
      <c r="Y174" s="1255">
        <v>3000</v>
      </c>
    </row>
    <row r="175" spans="1:25" s="1088" customFormat="1" ht="48">
      <c r="B175" s="1092"/>
      <c r="C175" s="1084" t="s">
        <v>34</v>
      </c>
      <c r="D175" s="1203">
        <v>13</v>
      </c>
      <c r="E175" s="1102" t="s">
        <v>84</v>
      </c>
      <c r="F175" s="1258">
        <f t="shared" si="29"/>
        <v>600</v>
      </c>
      <c r="G175" s="1258">
        <f t="shared" si="30"/>
        <v>0</v>
      </c>
      <c r="H175" s="1240"/>
      <c r="I175" s="1239"/>
      <c r="J175" s="1239"/>
      <c r="K175" s="1239"/>
      <c r="L175" s="1239"/>
      <c r="M175" s="1258">
        <f t="shared" si="31"/>
        <v>600</v>
      </c>
      <c r="N175" s="1240"/>
      <c r="O175" s="1238"/>
      <c r="P175" s="1240"/>
      <c r="Q175" s="1240"/>
      <c r="R175" s="1255"/>
      <c r="S175" s="1240">
        <v>0</v>
      </c>
      <c r="T175" s="1240"/>
      <c r="U175" s="1240"/>
      <c r="V175" s="1238">
        <v>600</v>
      </c>
      <c r="W175" s="1240"/>
      <c r="X175" s="1238"/>
      <c r="Y175" s="1255"/>
    </row>
    <row r="176" spans="1:25" s="1088" customFormat="1" ht="24">
      <c r="B176" s="1092"/>
      <c r="C176" s="1084" t="s">
        <v>34</v>
      </c>
      <c r="D176" s="1203">
        <v>14</v>
      </c>
      <c r="E176" s="1123" t="s">
        <v>85</v>
      </c>
      <c r="F176" s="1258"/>
      <c r="G176" s="1258"/>
      <c r="H176" s="1240"/>
      <c r="I176" s="1239"/>
      <c r="J176" s="1239"/>
      <c r="K176" s="1239"/>
      <c r="L176" s="1239"/>
      <c r="M176" s="1258"/>
      <c r="N176" s="1240"/>
      <c r="O176" s="1238"/>
      <c r="P176" s="1240"/>
      <c r="Q176" s="1240"/>
      <c r="R176" s="1255"/>
      <c r="S176" s="1240"/>
      <c r="T176" s="1240"/>
      <c r="U176" s="1240"/>
      <c r="V176" s="1238"/>
      <c r="W176" s="1240"/>
      <c r="X176" s="1238"/>
      <c r="Y176" s="1255"/>
    </row>
    <row r="177" spans="1:25" s="1088" customFormat="1" ht="24">
      <c r="B177" s="1092"/>
      <c r="C177" s="1084" t="s">
        <v>34</v>
      </c>
      <c r="D177" s="1203">
        <v>15</v>
      </c>
      <c r="E177" s="1096" t="s">
        <v>856</v>
      </c>
      <c r="F177" s="1258">
        <f t="shared" si="29"/>
        <v>144458</v>
      </c>
      <c r="G177" s="1258">
        <f t="shared" si="30"/>
        <v>94260</v>
      </c>
      <c r="H177" s="1255">
        <v>94260</v>
      </c>
      <c r="I177" s="1239"/>
      <c r="J177" s="1239"/>
      <c r="K177" s="1239"/>
      <c r="L177" s="1239"/>
      <c r="M177" s="1258">
        <f t="shared" si="31"/>
        <v>50198</v>
      </c>
      <c r="N177" s="1255"/>
      <c r="O177" s="1238">
        <v>960</v>
      </c>
      <c r="P177" s="1240">
        <v>1600</v>
      </c>
      <c r="Q177" s="1255">
        <v>5150</v>
      </c>
      <c r="R177" s="1255">
        <v>6736</v>
      </c>
      <c r="S177" s="1255">
        <v>8640</v>
      </c>
      <c r="T177" s="1240">
        <v>4600</v>
      </c>
      <c r="U177" s="1255"/>
      <c r="V177" s="1238">
        <v>17112</v>
      </c>
      <c r="W177" s="1255">
        <v>2520</v>
      </c>
      <c r="X177" s="1238">
        <v>1440</v>
      </c>
      <c r="Y177" s="1255">
        <v>1440</v>
      </c>
    </row>
    <row r="178" spans="1:25" s="1088" customFormat="1">
      <c r="B178" s="1092"/>
      <c r="C178" s="1084" t="s">
        <v>34</v>
      </c>
      <c r="D178" s="1203">
        <v>16</v>
      </c>
      <c r="E178" s="1126" t="s">
        <v>212</v>
      </c>
      <c r="F178" s="1258"/>
      <c r="G178" s="1258"/>
      <c r="H178" s="1255"/>
      <c r="I178" s="1239"/>
      <c r="J178" s="1239"/>
      <c r="K178" s="1239"/>
      <c r="L178" s="1239"/>
      <c r="M178" s="1258"/>
      <c r="N178" s="1255"/>
      <c r="O178" s="1238"/>
      <c r="P178" s="1240"/>
      <c r="Q178" s="1255"/>
      <c r="R178" s="1240"/>
      <c r="S178" s="1255"/>
      <c r="T178" s="1240"/>
      <c r="U178" s="1255"/>
      <c r="V178" s="1238"/>
      <c r="W178" s="1255"/>
      <c r="X178" s="1238"/>
      <c r="Y178" s="1255"/>
    </row>
    <row r="179" spans="1:25" s="1088" customFormat="1" ht="24">
      <c r="B179" s="1092"/>
      <c r="C179" s="1084" t="s">
        <v>34</v>
      </c>
      <c r="D179" s="1203">
        <v>17</v>
      </c>
      <c r="E179" s="1287" t="s">
        <v>669</v>
      </c>
      <c r="F179" s="1258">
        <f t="shared" si="29"/>
        <v>24102</v>
      </c>
      <c r="G179" s="1258">
        <f t="shared" si="30"/>
        <v>0</v>
      </c>
      <c r="H179" s="1255"/>
      <c r="I179" s="1239"/>
      <c r="J179" s="1239"/>
      <c r="K179" s="1239"/>
      <c r="L179" s="1239"/>
      <c r="M179" s="1258">
        <f t="shared" si="31"/>
        <v>24102</v>
      </c>
      <c r="N179" s="1255"/>
      <c r="O179" s="1238"/>
      <c r="P179" s="1240"/>
      <c r="Q179" s="1255"/>
      <c r="R179" s="1240">
        <v>6930</v>
      </c>
      <c r="S179" s="1255"/>
      <c r="T179" s="1240"/>
      <c r="U179" s="1255">
        <v>11752</v>
      </c>
      <c r="V179" s="1238"/>
      <c r="W179" s="1255">
        <v>5420</v>
      </c>
      <c r="X179" s="1238"/>
      <c r="Y179" s="1255"/>
    </row>
    <row r="180" spans="1:25" s="1088" customFormat="1">
      <c r="B180" s="1092"/>
      <c r="C180" s="1084" t="s">
        <v>34</v>
      </c>
      <c r="D180" s="1203">
        <v>18</v>
      </c>
      <c r="E180" s="1085" t="s">
        <v>290</v>
      </c>
      <c r="F180" s="1258">
        <f t="shared" si="29"/>
        <v>0</v>
      </c>
      <c r="G180" s="1258">
        <f t="shared" si="30"/>
        <v>0</v>
      </c>
      <c r="H180" s="1255"/>
      <c r="I180" s="1239"/>
      <c r="J180" s="1239"/>
      <c r="K180" s="1239"/>
      <c r="L180" s="1239"/>
      <c r="M180" s="1258">
        <f t="shared" si="31"/>
        <v>0</v>
      </c>
      <c r="N180" s="1255"/>
      <c r="O180" s="1238"/>
      <c r="P180" s="1240"/>
      <c r="Q180" s="1255"/>
      <c r="R180" s="1240"/>
      <c r="S180" s="1255"/>
      <c r="T180" s="1240"/>
      <c r="U180" s="1255"/>
      <c r="V180" s="1238"/>
      <c r="W180" s="1255"/>
      <c r="X180" s="1238"/>
      <c r="Y180" s="1255"/>
    </row>
    <row r="181" spans="1:25" s="1088" customFormat="1">
      <c r="B181" s="1092"/>
      <c r="C181" s="1084" t="s">
        <v>34</v>
      </c>
      <c r="D181" s="1203">
        <v>19</v>
      </c>
      <c r="E181" s="1085" t="s">
        <v>292</v>
      </c>
      <c r="F181" s="1258">
        <f t="shared" si="29"/>
        <v>0</v>
      </c>
      <c r="G181" s="1258">
        <f t="shared" si="30"/>
        <v>0</v>
      </c>
      <c r="H181" s="1255"/>
      <c r="I181" s="1239"/>
      <c r="J181" s="1239"/>
      <c r="K181" s="1239"/>
      <c r="L181" s="1239"/>
      <c r="M181" s="1258">
        <f t="shared" si="31"/>
        <v>0</v>
      </c>
      <c r="N181" s="1255"/>
      <c r="O181" s="1238"/>
      <c r="P181" s="1240"/>
      <c r="Q181" s="1255"/>
      <c r="R181" s="1240"/>
      <c r="S181" s="1255"/>
      <c r="T181" s="1240"/>
      <c r="U181" s="1255"/>
      <c r="V181" s="1238"/>
      <c r="W181" s="1255"/>
      <c r="X181" s="1238"/>
      <c r="Y181" s="1255"/>
    </row>
    <row r="182" spans="1:25" s="1088" customFormat="1">
      <c r="B182" s="1092"/>
      <c r="C182" s="1084" t="s">
        <v>34</v>
      </c>
      <c r="D182" s="1203">
        <v>20</v>
      </c>
      <c r="E182" s="1085" t="s">
        <v>291</v>
      </c>
      <c r="F182" s="1258">
        <f t="shared" si="29"/>
        <v>50500</v>
      </c>
      <c r="G182" s="1258">
        <f t="shared" si="30"/>
        <v>50000</v>
      </c>
      <c r="H182" s="1255">
        <v>50000</v>
      </c>
      <c r="I182" s="1239"/>
      <c r="J182" s="1239"/>
      <c r="K182" s="1239"/>
      <c r="L182" s="1239"/>
      <c r="M182" s="1258">
        <f t="shared" si="31"/>
        <v>500</v>
      </c>
      <c r="N182" s="1255"/>
      <c r="O182" s="1238"/>
      <c r="P182" s="1240"/>
      <c r="Q182" s="1255"/>
      <c r="R182" s="1240"/>
      <c r="S182" s="1255"/>
      <c r="T182" s="1240"/>
      <c r="U182" s="1255"/>
      <c r="V182" s="1238">
        <v>500</v>
      </c>
      <c r="W182" s="1255"/>
      <c r="X182" s="1238"/>
      <c r="Y182" s="1255"/>
    </row>
    <row r="183" spans="1:25" s="1120" customFormat="1" ht="60">
      <c r="B183" s="1121"/>
      <c r="C183" s="1122" t="s">
        <v>34</v>
      </c>
      <c r="D183" s="1203">
        <v>21</v>
      </c>
      <c r="E183" s="1086" t="s">
        <v>670</v>
      </c>
      <c r="F183" s="1259"/>
      <c r="G183" s="1259"/>
      <c r="H183" s="1265"/>
      <c r="I183" s="1261"/>
      <c r="J183" s="1261"/>
      <c r="K183" s="1261"/>
      <c r="L183" s="1261"/>
      <c r="M183" s="1259"/>
      <c r="N183" s="1265"/>
      <c r="O183" s="1262"/>
      <c r="P183" s="1260"/>
      <c r="Q183" s="1265"/>
      <c r="R183" s="1260"/>
      <c r="S183" s="1265"/>
      <c r="T183" s="1260"/>
      <c r="U183" s="1265"/>
      <c r="V183" s="1262"/>
      <c r="W183" s="1265"/>
      <c r="X183" s="1262"/>
      <c r="Y183" s="1265"/>
    </row>
    <row r="184" spans="1:25" s="1088" customFormat="1" ht="24">
      <c r="B184" s="1092"/>
      <c r="C184" s="1084" t="s">
        <v>34</v>
      </c>
      <c r="D184" s="1203">
        <v>22</v>
      </c>
      <c r="E184" s="1086" t="s">
        <v>671</v>
      </c>
      <c r="F184" s="1258"/>
      <c r="G184" s="1258"/>
      <c r="H184" s="1255"/>
      <c r="I184" s="1239"/>
      <c r="J184" s="1239"/>
      <c r="K184" s="1239"/>
      <c r="L184" s="1239"/>
      <c r="M184" s="1258"/>
      <c r="N184" s="1255"/>
      <c r="O184" s="1238"/>
      <c r="P184" s="1240"/>
      <c r="Q184" s="1255"/>
      <c r="R184" s="1240"/>
      <c r="S184" s="1255"/>
      <c r="T184" s="1240"/>
      <c r="U184" s="1255"/>
      <c r="V184" s="1238"/>
      <c r="W184" s="1255"/>
      <c r="X184" s="1238"/>
      <c r="Y184" s="1255"/>
    </row>
    <row r="185" spans="1:25" s="1078" customFormat="1" ht="36">
      <c r="A185" s="1078" t="s">
        <v>808</v>
      </c>
      <c r="B185" s="1094" t="s">
        <v>247</v>
      </c>
      <c r="C185" s="1080" t="s">
        <v>34</v>
      </c>
      <c r="D185" s="1431"/>
      <c r="E185" s="1081" t="s">
        <v>237</v>
      </c>
      <c r="F185" s="1235">
        <f t="shared" si="29"/>
        <v>1236302</v>
      </c>
      <c r="G185" s="1235">
        <f t="shared" si="30"/>
        <v>402280</v>
      </c>
      <c r="H185" s="1236">
        <f>SUM(H186:H203)</f>
        <v>402280</v>
      </c>
      <c r="I185" s="1237">
        <f>SUM(I186:I203)</f>
        <v>0</v>
      </c>
      <c r="J185" s="1237">
        <f>SUM(J186:J203)</f>
        <v>0</v>
      </c>
      <c r="K185" s="1237">
        <f>SUM(K186:K203)</f>
        <v>0</v>
      </c>
      <c r="L185" s="1237">
        <f>SUM(L186:L203)</f>
        <v>0</v>
      </c>
      <c r="M185" s="1235">
        <f t="shared" si="31"/>
        <v>834022</v>
      </c>
      <c r="N185" s="1236">
        <f t="shared" ref="N185:Y185" si="36">SUM(N186:N203)</f>
        <v>81945</v>
      </c>
      <c r="O185" s="1236">
        <f t="shared" si="36"/>
        <v>50900</v>
      </c>
      <c r="P185" s="1236">
        <f t="shared" si="36"/>
        <v>52124</v>
      </c>
      <c r="Q185" s="1236">
        <f t="shared" si="36"/>
        <v>102891</v>
      </c>
      <c r="R185" s="1236">
        <f t="shared" si="36"/>
        <v>45770</v>
      </c>
      <c r="S185" s="1236">
        <f t="shared" si="36"/>
        <v>32330</v>
      </c>
      <c r="T185" s="1236">
        <f t="shared" si="36"/>
        <v>61480</v>
      </c>
      <c r="U185" s="1236">
        <f t="shared" si="36"/>
        <v>167888</v>
      </c>
      <c r="V185" s="1236">
        <f t="shared" si="36"/>
        <v>128604</v>
      </c>
      <c r="W185" s="1236">
        <f t="shared" si="36"/>
        <v>22030</v>
      </c>
      <c r="X185" s="1236">
        <f t="shared" si="36"/>
        <v>7620</v>
      </c>
      <c r="Y185" s="1236">
        <f t="shared" si="36"/>
        <v>80440</v>
      </c>
    </row>
    <row r="186" spans="1:25" s="1088" customFormat="1" ht="60">
      <c r="B186" s="1092"/>
      <c r="C186" s="1084" t="s">
        <v>34</v>
      </c>
      <c r="D186" s="1203">
        <v>1</v>
      </c>
      <c r="E186" s="1115" t="s">
        <v>666</v>
      </c>
      <c r="F186" s="1258"/>
      <c r="G186" s="1258"/>
      <c r="H186" s="1238"/>
      <c r="I186" s="1239"/>
      <c r="J186" s="1239"/>
      <c r="K186" s="1239"/>
      <c r="L186" s="1239"/>
      <c r="M186" s="1258"/>
      <c r="N186" s="1238"/>
      <c r="O186" s="1238"/>
      <c r="P186" s="1242"/>
      <c r="Q186" s="1238"/>
      <c r="R186" s="1238"/>
      <c r="S186" s="1238"/>
      <c r="T186" s="1238"/>
      <c r="U186" s="1238"/>
      <c r="V186" s="1238"/>
      <c r="W186" s="1238"/>
      <c r="X186" s="1238"/>
      <c r="Y186" s="1238"/>
    </row>
    <row r="187" spans="1:25" s="1088" customFormat="1">
      <c r="B187" s="1127"/>
      <c r="C187" s="1084" t="s">
        <v>34</v>
      </c>
      <c r="D187" s="1203">
        <v>2</v>
      </c>
      <c r="E187" s="1114" t="s">
        <v>672</v>
      </c>
      <c r="F187" s="1258">
        <f t="shared" si="29"/>
        <v>27000</v>
      </c>
      <c r="G187" s="1258">
        <f t="shared" si="30"/>
        <v>0</v>
      </c>
      <c r="H187" s="1240"/>
      <c r="I187" s="1239"/>
      <c r="J187" s="1239"/>
      <c r="K187" s="1239"/>
      <c r="L187" s="1239"/>
      <c r="M187" s="1258">
        <f t="shared" si="31"/>
        <v>27000</v>
      </c>
      <c r="N187" s="1240"/>
      <c r="O187" s="1238">
        <v>3500</v>
      </c>
      <c r="P187" s="1240"/>
      <c r="Q187" s="1240"/>
      <c r="R187" s="1255"/>
      <c r="S187" s="1240"/>
      <c r="T187" s="1240">
        <v>4900</v>
      </c>
      <c r="U187" s="1240"/>
      <c r="V187" s="1240">
        <v>18600</v>
      </c>
      <c r="W187" s="1240"/>
      <c r="X187" s="1240"/>
      <c r="Y187" s="1240"/>
    </row>
    <row r="188" spans="1:25" s="1088" customFormat="1" ht="36">
      <c r="B188" s="1127"/>
      <c r="C188" s="1084" t="s">
        <v>34</v>
      </c>
      <c r="D188" s="1203">
        <v>3</v>
      </c>
      <c r="E188" s="1128" t="s">
        <v>483</v>
      </c>
      <c r="F188" s="1258">
        <f t="shared" si="29"/>
        <v>93622</v>
      </c>
      <c r="G188" s="1258">
        <f t="shared" si="30"/>
        <v>0</v>
      </c>
      <c r="H188" s="1240"/>
      <c r="I188" s="1239"/>
      <c r="J188" s="1239"/>
      <c r="K188" s="1239"/>
      <c r="L188" s="1239"/>
      <c r="M188" s="1258">
        <f t="shared" si="31"/>
        <v>93622</v>
      </c>
      <c r="N188" s="1240"/>
      <c r="O188" s="1238">
        <v>3400</v>
      </c>
      <c r="P188" s="1240">
        <v>19164</v>
      </c>
      <c r="Q188" s="1240"/>
      <c r="R188" s="1240">
        <v>5800</v>
      </c>
      <c r="S188" s="1240">
        <v>10650</v>
      </c>
      <c r="T188" s="1240">
        <v>12000</v>
      </c>
      <c r="U188" s="1240">
        <v>18808</v>
      </c>
      <c r="V188" s="1240">
        <v>10000</v>
      </c>
      <c r="W188" s="1240">
        <v>5420</v>
      </c>
      <c r="X188" s="1240"/>
      <c r="Y188" s="1240">
        <v>8380</v>
      </c>
    </row>
    <row r="189" spans="1:25" s="1088" customFormat="1" ht="72">
      <c r="B189" s="1127"/>
      <c r="C189" s="1084" t="s">
        <v>34</v>
      </c>
      <c r="D189" s="1203">
        <v>4</v>
      </c>
      <c r="E189" s="1102" t="s">
        <v>590</v>
      </c>
      <c r="F189" s="1258">
        <f t="shared" si="29"/>
        <v>91850</v>
      </c>
      <c r="G189" s="1258">
        <f t="shared" si="30"/>
        <v>25800</v>
      </c>
      <c r="H189" s="1240">
        <v>25800</v>
      </c>
      <c r="I189" s="1239"/>
      <c r="J189" s="1239"/>
      <c r="K189" s="1239"/>
      <c r="L189" s="1239"/>
      <c r="M189" s="1258">
        <f t="shared" si="31"/>
        <v>66050</v>
      </c>
      <c r="N189" s="1240">
        <v>3300</v>
      </c>
      <c r="O189" s="1238">
        <v>3500</v>
      </c>
      <c r="P189" s="1240">
        <v>1180</v>
      </c>
      <c r="Q189" s="1240">
        <v>4600</v>
      </c>
      <c r="R189" s="1255">
        <v>2850</v>
      </c>
      <c r="S189" s="1240">
        <v>3120</v>
      </c>
      <c r="T189" s="1240">
        <v>16200</v>
      </c>
      <c r="U189" s="1238">
        <v>1620</v>
      </c>
      <c r="V189" s="1240">
        <v>18600</v>
      </c>
      <c r="W189" s="1240">
        <v>2860</v>
      </c>
      <c r="X189" s="1240">
        <v>6120</v>
      </c>
      <c r="Y189" s="1240">
        <v>2100</v>
      </c>
    </row>
    <row r="190" spans="1:25" s="1088" customFormat="1" ht="36">
      <c r="B190" s="1127"/>
      <c r="C190" s="1084" t="s">
        <v>34</v>
      </c>
      <c r="D190" s="1203">
        <v>5</v>
      </c>
      <c r="E190" s="1114" t="s">
        <v>673</v>
      </c>
      <c r="F190" s="1258"/>
      <c r="G190" s="1258"/>
      <c r="H190" s="1238"/>
      <c r="I190" s="1239"/>
      <c r="J190" s="1239"/>
      <c r="K190" s="1239"/>
      <c r="L190" s="1239"/>
      <c r="M190" s="1258"/>
      <c r="N190" s="1240"/>
      <c r="O190" s="1238"/>
      <c r="P190" s="1240"/>
      <c r="Q190" s="1240"/>
      <c r="R190" s="1240"/>
      <c r="S190" s="1240"/>
      <c r="T190" s="1240"/>
      <c r="U190" s="1240"/>
      <c r="V190" s="1240"/>
      <c r="W190" s="1240"/>
      <c r="X190" s="1238"/>
      <c r="Y190" s="1240"/>
    </row>
    <row r="191" spans="1:25" s="1088" customFormat="1" ht="24">
      <c r="B191" s="1127"/>
      <c r="C191" s="1084" t="s">
        <v>34</v>
      </c>
      <c r="D191" s="1203">
        <v>6</v>
      </c>
      <c r="E191" s="1102" t="s">
        <v>88</v>
      </c>
      <c r="F191" s="1258">
        <f t="shared" si="29"/>
        <v>533030</v>
      </c>
      <c r="G191" s="1258">
        <f t="shared" si="30"/>
        <v>41280</v>
      </c>
      <c r="H191" s="1238">
        <v>41280</v>
      </c>
      <c r="I191" s="1239"/>
      <c r="J191" s="1239"/>
      <c r="K191" s="1239"/>
      <c r="L191" s="1239"/>
      <c r="M191" s="1258">
        <f t="shared" si="31"/>
        <v>491750</v>
      </c>
      <c r="N191" s="1240">
        <v>18920</v>
      </c>
      <c r="O191" s="1238">
        <v>12000</v>
      </c>
      <c r="P191" s="1240">
        <v>30600</v>
      </c>
      <c r="Q191" s="1240">
        <v>80000</v>
      </c>
      <c r="R191" s="1238">
        <v>37120</v>
      </c>
      <c r="S191" s="1240">
        <v>18560</v>
      </c>
      <c r="T191" s="1240">
        <v>28380</v>
      </c>
      <c r="U191" s="1240">
        <v>147460</v>
      </c>
      <c r="V191" s="1240">
        <v>35000</v>
      </c>
      <c r="W191" s="1240">
        <v>13750</v>
      </c>
      <c r="X191" s="1240"/>
      <c r="Y191" s="1240">
        <v>69960</v>
      </c>
    </row>
    <row r="192" spans="1:25" s="1088" customFormat="1" ht="24">
      <c r="B192" s="1127"/>
      <c r="C192" s="1084" t="s">
        <v>34</v>
      </c>
      <c r="D192" s="1203">
        <v>7</v>
      </c>
      <c r="E192" s="1123" t="s">
        <v>38</v>
      </c>
      <c r="F192" s="1258"/>
      <c r="G192" s="1258"/>
      <c r="H192" s="1240"/>
      <c r="I192" s="1239"/>
      <c r="J192" s="1239"/>
      <c r="K192" s="1239"/>
      <c r="L192" s="1239"/>
      <c r="M192" s="1258"/>
      <c r="N192" s="1240"/>
      <c r="O192" s="1238"/>
      <c r="P192" s="1240"/>
      <c r="Q192" s="1240"/>
      <c r="R192" s="1255"/>
      <c r="S192" s="1240"/>
      <c r="T192" s="1240"/>
      <c r="U192" s="1255"/>
      <c r="V192" s="1240"/>
      <c r="W192" s="1240"/>
      <c r="X192" s="1240"/>
      <c r="Y192" s="1240"/>
    </row>
    <row r="193" spans="1:27" s="1088" customFormat="1">
      <c r="B193" s="1127"/>
      <c r="C193" s="1084" t="s">
        <v>34</v>
      </c>
      <c r="D193" s="1203">
        <v>8</v>
      </c>
      <c r="E193" s="1129" t="s">
        <v>674</v>
      </c>
      <c r="F193" s="1258"/>
      <c r="G193" s="1258"/>
      <c r="H193" s="1240"/>
      <c r="I193" s="1239"/>
      <c r="J193" s="1239"/>
      <c r="K193" s="1239"/>
      <c r="L193" s="1239"/>
      <c r="M193" s="1258"/>
      <c r="N193" s="1240"/>
      <c r="O193" s="1238"/>
      <c r="P193" s="1238"/>
      <c r="Q193" s="1240"/>
      <c r="R193" s="1240"/>
      <c r="S193" s="1240"/>
      <c r="T193" s="1240"/>
      <c r="U193" s="1240"/>
      <c r="V193" s="1240"/>
      <c r="W193" s="1240"/>
      <c r="X193" s="1240"/>
      <c r="Y193" s="1240"/>
    </row>
    <row r="194" spans="1:27" s="1088" customFormat="1" ht="36">
      <c r="B194" s="1127"/>
      <c r="C194" s="1084" t="s">
        <v>34</v>
      </c>
      <c r="D194" s="1203">
        <v>9</v>
      </c>
      <c r="E194" s="1130" t="s">
        <v>675</v>
      </c>
      <c r="F194" s="1258"/>
      <c r="G194" s="1258"/>
      <c r="H194" s="1240"/>
      <c r="I194" s="1239"/>
      <c r="J194" s="1239"/>
      <c r="K194" s="1239"/>
      <c r="L194" s="1239"/>
      <c r="M194" s="1258"/>
      <c r="N194" s="1240"/>
      <c r="O194" s="1238"/>
      <c r="P194" s="1240"/>
      <c r="Q194" s="1240"/>
      <c r="R194" s="1240"/>
      <c r="S194" s="1240"/>
      <c r="T194" s="1240"/>
      <c r="U194" s="1240"/>
      <c r="V194" s="1240"/>
      <c r="W194" s="1240"/>
      <c r="X194" s="1240"/>
      <c r="Y194" s="1240"/>
    </row>
    <row r="195" spans="1:27" s="1088" customFormat="1" ht="24">
      <c r="B195" s="1127"/>
      <c r="C195" s="1084" t="s">
        <v>34</v>
      </c>
      <c r="D195" s="1203">
        <v>10</v>
      </c>
      <c r="E195" s="1085" t="s">
        <v>486</v>
      </c>
      <c r="F195" s="1258">
        <f t="shared" si="29"/>
        <v>262378</v>
      </c>
      <c r="G195" s="1258">
        <f t="shared" si="30"/>
        <v>200000</v>
      </c>
      <c r="H195" s="1240">
        <v>200000</v>
      </c>
      <c r="I195" s="1239"/>
      <c r="J195" s="1239"/>
      <c r="K195" s="1239"/>
      <c r="L195" s="1239"/>
      <c r="M195" s="1258">
        <f t="shared" si="31"/>
        <v>62378</v>
      </c>
      <c r="N195" s="1240">
        <v>46787</v>
      </c>
      <c r="O195" s="1238"/>
      <c r="P195" s="1240"/>
      <c r="Q195" s="1240">
        <v>14091</v>
      </c>
      <c r="R195" s="1240">
        <v>0</v>
      </c>
      <c r="S195" s="1240"/>
      <c r="T195" s="1240"/>
      <c r="U195" s="1240"/>
      <c r="V195" s="1240"/>
      <c r="W195" s="1240"/>
      <c r="X195" s="1240">
        <v>1500</v>
      </c>
      <c r="Y195" s="1240"/>
    </row>
    <row r="196" spans="1:27" s="1088" customFormat="1" ht="72">
      <c r="B196" s="1127"/>
      <c r="C196" s="1084" t="s">
        <v>34</v>
      </c>
      <c r="D196" s="1203">
        <v>11</v>
      </c>
      <c r="E196" s="1102" t="s">
        <v>487</v>
      </c>
      <c r="F196" s="1258">
        <f t="shared" si="29"/>
        <v>48384</v>
      </c>
      <c r="G196" s="1258">
        <f t="shared" si="30"/>
        <v>14000</v>
      </c>
      <c r="H196" s="1238">
        <v>14000</v>
      </c>
      <c r="I196" s="1239">
        <v>0</v>
      </c>
      <c r="J196" s="1239"/>
      <c r="K196" s="1239"/>
      <c r="L196" s="1239"/>
      <c r="M196" s="1258">
        <f t="shared" si="31"/>
        <v>34384</v>
      </c>
      <c r="N196" s="1240">
        <v>4900</v>
      </c>
      <c r="O196" s="1238">
        <v>3500</v>
      </c>
      <c r="P196" s="1240"/>
      <c r="Q196" s="1240">
        <v>4200</v>
      </c>
      <c r="R196" s="1255"/>
      <c r="S196" s="1240"/>
      <c r="T196" s="1240"/>
      <c r="U196" s="1240"/>
      <c r="V196" s="1240">
        <v>21784</v>
      </c>
      <c r="W196" s="1240"/>
      <c r="X196" s="1238"/>
      <c r="Y196" s="1240"/>
      <c r="AA196" s="1131"/>
    </row>
    <row r="197" spans="1:27" s="1088" customFormat="1" ht="36">
      <c r="B197" s="1127"/>
      <c r="C197" s="1084" t="s">
        <v>34</v>
      </c>
      <c r="D197" s="1203">
        <v>12</v>
      </c>
      <c r="E197" s="1102" t="s">
        <v>488</v>
      </c>
      <c r="F197" s="1258">
        <f t="shared" si="29"/>
        <v>131920</v>
      </c>
      <c r="G197" s="1258">
        <f t="shared" si="30"/>
        <v>121200</v>
      </c>
      <c r="H197" s="1238">
        <v>121200</v>
      </c>
      <c r="I197" s="1239"/>
      <c r="J197" s="1239"/>
      <c r="K197" s="1239"/>
      <c r="L197" s="1239"/>
      <c r="M197" s="1258">
        <f t="shared" si="31"/>
        <v>10720</v>
      </c>
      <c r="N197" s="1240">
        <v>1520</v>
      </c>
      <c r="O197" s="1238">
        <v>8000</v>
      </c>
      <c r="P197" s="1240"/>
      <c r="Q197" s="1240"/>
      <c r="R197" s="1255"/>
      <c r="S197" s="1240"/>
      <c r="T197" s="1240"/>
      <c r="U197" s="1240"/>
      <c r="V197" s="1240">
        <v>1200</v>
      </c>
      <c r="W197" s="1240"/>
      <c r="X197" s="1238"/>
      <c r="Y197" s="1240"/>
    </row>
    <row r="198" spans="1:27" s="1088" customFormat="1" ht="24">
      <c r="B198" s="1127"/>
      <c r="C198" s="1084" t="s">
        <v>34</v>
      </c>
      <c r="D198" s="1203">
        <v>13</v>
      </c>
      <c r="E198" s="1102" t="s">
        <v>232</v>
      </c>
      <c r="F198" s="1258">
        <f t="shared" si="29"/>
        <v>13320</v>
      </c>
      <c r="G198" s="1258">
        <f t="shared" si="30"/>
        <v>0</v>
      </c>
      <c r="H198" s="1238"/>
      <c r="I198" s="1239"/>
      <c r="J198" s="1239"/>
      <c r="K198" s="1239"/>
      <c r="L198" s="1239"/>
      <c r="M198" s="1258">
        <f t="shared" si="31"/>
        <v>13320</v>
      </c>
      <c r="N198" s="1240">
        <v>300</v>
      </c>
      <c r="O198" s="1238">
        <v>2500</v>
      </c>
      <c r="P198" s="1251"/>
      <c r="Q198" s="1240"/>
      <c r="R198" s="1240"/>
      <c r="S198" s="1240"/>
      <c r="T198" s="1240"/>
      <c r="U198" s="1240"/>
      <c r="V198" s="1240">
        <v>10520</v>
      </c>
      <c r="W198" s="1240"/>
      <c r="X198" s="1238"/>
      <c r="Y198" s="1240"/>
    </row>
    <row r="199" spans="1:27" s="1088" customFormat="1" ht="24">
      <c r="B199" s="1127"/>
      <c r="C199" s="1084" t="s">
        <v>34</v>
      </c>
      <c r="D199" s="1203">
        <v>14</v>
      </c>
      <c r="E199" s="1102" t="s">
        <v>489</v>
      </c>
      <c r="F199" s="1258">
        <f t="shared" si="29"/>
        <v>15080</v>
      </c>
      <c r="G199" s="1258">
        <f t="shared" si="30"/>
        <v>0</v>
      </c>
      <c r="H199" s="1238"/>
      <c r="I199" s="1239"/>
      <c r="J199" s="1239"/>
      <c r="K199" s="1239"/>
      <c r="L199" s="1239"/>
      <c r="M199" s="1258">
        <f t="shared" si="31"/>
        <v>15080</v>
      </c>
      <c r="N199" s="1240"/>
      <c r="O199" s="1238">
        <v>11000</v>
      </c>
      <c r="P199" s="1240">
        <v>1180</v>
      </c>
      <c r="Q199" s="1240"/>
      <c r="R199" s="1240"/>
      <c r="S199" s="1240"/>
      <c r="T199" s="1240"/>
      <c r="U199" s="1240"/>
      <c r="V199" s="1240">
        <v>2900</v>
      </c>
      <c r="W199" s="1240"/>
      <c r="X199" s="1238"/>
      <c r="Y199" s="1240"/>
    </row>
    <row r="200" spans="1:27" s="1088" customFormat="1" ht="36">
      <c r="B200" s="1127"/>
      <c r="C200" s="1084" t="s">
        <v>34</v>
      </c>
      <c r="D200" s="1203">
        <v>15</v>
      </c>
      <c r="E200" s="1132" t="s">
        <v>676</v>
      </c>
      <c r="F200" s="1258">
        <f t="shared" ref="F200:F263" si="37">G200+M200</f>
        <v>1040</v>
      </c>
      <c r="G200" s="1258">
        <f t="shared" ref="G200:G262" si="38">SUM(H200:L200)</f>
        <v>0</v>
      </c>
      <c r="H200" s="1238"/>
      <c r="I200" s="1239"/>
      <c r="J200" s="1239"/>
      <c r="K200" s="1239"/>
      <c r="L200" s="1239"/>
      <c r="M200" s="1258">
        <f t="shared" ref="M200:M262" si="39">SUM(N200:Y200)</f>
        <v>1040</v>
      </c>
      <c r="N200" s="1240">
        <v>1040</v>
      </c>
      <c r="O200" s="1238"/>
      <c r="P200" s="1240"/>
      <c r="Q200" s="1240"/>
      <c r="R200" s="1240"/>
      <c r="S200" s="1240"/>
      <c r="T200" s="1240"/>
      <c r="U200" s="1240"/>
      <c r="V200" s="1240"/>
      <c r="W200" s="1240"/>
      <c r="X200" s="1238"/>
      <c r="Y200" s="1240"/>
    </row>
    <row r="201" spans="1:27" s="1088" customFormat="1" ht="24">
      <c r="B201" s="1127"/>
      <c r="C201" s="1084" t="s">
        <v>34</v>
      </c>
      <c r="D201" s="1203">
        <v>16</v>
      </c>
      <c r="E201" s="1133" t="s">
        <v>677</v>
      </c>
      <c r="F201" s="1258">
        <f t="shared" si="37"/>
        <v>5178</v>
      </c>
      <c r="G201" s="1258">
        <f t="shared" si="38"/>
        <v>0</v>
      </c>
      <c r="H201" s="1238"/>
      <c r="I201" s="1239"/>
      <c r="J201" s="1239"/>
      <c r="K201" s="1239"/>
      <c r="L201" s="1239"/>
      <c r="M201" s="1258">
        <f t="shared" si="39"/>
        <v>5178</v>
      </c>
      <c r="N201" s="1240">
        <v>5178</v>
      </c>
      <c r="O201" s="1238"/>
      <c r="P201" s="1240"/>
      <c r="Q201" s="1240"/>
      <c r="R201" s="1240"/>
      <c r="S201" s="1240"/>
      <c r="T201" s="1240"/>
      <c r="U201" s="1240"/>
      <c r="V201" s="1240"/>
      <c r="W201" s="1240"/>
      <c r="X201" s="1238"/>
      <c r="Y201" s="1240"/>
    </row>
    <row r="202" spans="1:27" s="1088" customFormat="1" ht="24">
      <c r="B202" s="1127"/>
      <c r="C202" s="1084" t="s">
        <v>34</v>
      </c>
      <c r="D202" s="1203">
        <v>17</v>
      </c>
      <c r="E202" s="1102" t="s">
        <v>89</v>
      </c>
      <c r="F202" s="1258">
        <f t="shared" si="37"/>
        <v>10000</v>
      </c>
      <c r="G202" s="1258">
        <f t="shared" si="38"/>
        <v>0</v>
      </c>
      <c r="H202" s="1238"/>
      <c r="I202" s="1239"/>
      <c r="J202" s="1239"/>
      <c r="K202" s="1239"/>
      <c r="L202" s="1239"/>
      <c r="M202" s="1258">
        <f t="shared" si="39"/>
        <v>10000</v>
      </c>
      <c r="N202" s="1240"/>
      <c r="O202" s="1238"/>
      <c r="P202" s="1240"/>
      <c r="Q202" s="1240"/>
      <c r="R202" s="1255"/>
      <c r="S202" s="1240"/>
      <c r="T202" s="1240"/>
      <c r="U202" s="1240"/>
      <c r="V202" s="1240">
        <v>10000</v>
      </c>
      <c r="W202" s="1240"/>
      <c r="X202" s="1238"/>
      <c r="Y202" s="1240"/>
    </row>
    <row r="203" spans="1:27" s="1088" customFormat="1" ht="24">
      <c r="B203" s="1127"/>
      <c r="C203" s="1084" t="s">
        <v>34</v>
      </c>
      <c r="D203" s="1203">
        <v>18</v>
      </c>
      <c r="E203" s="1102" t="s">
        <v>90</v>
      </c>
      <c r="F203" s="1258">
        <f t="shared" si="37"/>
        <v>3500</v>
      </c>
      <c r="G203" s="1258">
        <f t="shared" si="38"/>
        <v>0</v>
      </c>
      <c r="H203" s="1238"/>
      <c r="I203" s="1239"/>
      <c r="J203" s="1239"/>
      <c r="K203" s="1239"/>
      <c r="L203" s="1239"/>
      <c r="M203" s="1258">
        <f t="shared" si="39"/>
        <v>3500</v>
      </c>
      <c r="N203" s="1240"/>
      <c r="O203" s="1238">
        <v>3500</v>
      </c>
      <c r="P203" s="1240"/>
      <c r="Q203" s="1240"/>
      <c r="R203" s="1255"/>
      <c r="S203" s="1240"/>
      <c r="T203" s="1240"/>
      <c r="U203" s="1240"/>
      <c r="V203" s="1238"/>
      <c r="W203" s="1240"/>
      <c r="X203" s="1238"/>
      <c r="Y203" s="1240"/>
    </row>
    <row r="204" spans="1:27" s="1078" customFormat="1" ht="60">
      <c r="A204" s="1078" t="s">
        <v>809</v>
      </c>
      <c r="B204" s="1094" t="s">
        <v>828</v>
      </c>
      <c r="C204" s="1080" t="s">
        <v>34</v>
      </c>
      <c r="D204" s="1431"/>
      <c r="E204" s="1290" t="s">
        <v>24</v>
      </c>
      <c r="F204" s="1235">
        <f t="shared" si="37"/>
        <v>157700.204</v>
      </c>
      <c r="G204" s="1235">
        <f t="shared" si="38"/>
        <v>75000</v>
      </c>
      <c r="H204" s="1236">
        <f>SUM(H205:H211)</f>
        <v>75000</v>
      </c>
      <c r="I204" s="1237">
        <f t="shared" ref="I204:Y204" si="40">SUM(I205:I211)</f>
        <v>0</v>
      </c>
      <c r="J204" s="1237">
        <f t="shared" si="40"/>
        <v>0</v>
      </c>
      <c r="K204" s="1237">
        <f t="shared" si="40"/>
        <v>0</v>
      </c>
      <c r="L204" s="1237">
        <f t="shared" si="40"/>
        <v>0</v>
      </c>
      <c r="M204" s="1232">
        <f t="shared" si="39"/>
        <v>82700.203999999998</v>
      </c>
      <c r="N204" s="1236">
        <f t="shared" si="40"/>
        <v>41946</v>
      </c>
      <c r="O204" s="1236">
        <f t="shared" si="40"/>
        <v>4434.2039999999997</v>
      </c>
      <c r="P204" s="1236">
        <f t="shared" si="40"/>
        <v>2180</v>
      </c>
      <c r="Q204" s="1236">
        <f t="shared" si="40"/>
        <v>4600</v>
      </c>
      <c r="R204" s="1236">
        <f t="shared" si="40"/>
        <v>0</v>
      </c>
      <c r="S204" s="1236">
        <f t="shared" si="40"/>
        <v>1480</v>
      </c>
      <c r="T204" s="1236">
        <f t="shared" si="40"/>
        <v>10740</v>
      </c>
      <c r="U204" s="1236">
        <f t="shared" si="40"/>
        <v>0</v>
      </c>
      <c r="V204" s="1236">
        <f t="shared" si="40"/>
        <v>4260</v>
      </c>
      <c r="W204" s="1236">
        <f t="shared" si="40"/>
        <v>6050</v>
      </c>
      <c r="X204" s="1236">
        <f t="shared" si="40"/>
        <v>3360</v>
      </c>
      <c r="Y204" s="1236">
        <f t="shared" si="40"/>
        <v>3650</v>
      </c>
    </row>
    <row r="205" spans="1:27" s="1078" customFormat="1" ht="36">
      <c r="B205" s="1124"/>
      <c r="C205" s="1091" t="s">
        <v>34</v>
      </c>
      <c r="D205" s="1432">
        <v>1</v>
      </c>
      <c r="E205" s="1105" t="s">
        <v>678</v>
      </c>
      <c r="F205" s="1232">
        <f t="shared" si="37"/>
        <v>53640.203999999998</v>
      </c>
      <c r="G205" s="1232">
        <f t="shared" si="38"/>
        <v>40000</v>
      </c>
      <c r="H205" s="1266">
        <v>40000</v>
      </c>
      <c r="I205" s="1237"/>
      <c r="J205" s="1237"/>
      <c r="K205" s="1237"/>
      <c r="L205" s="1237"/>
      <c r="M205" s="1232">
        <f t="shared" si="39"/>
        <v>13640.204</v>
      </c>
      <c r="N205" s="1238">
        <v>246</v>
      </c>
      <c r="O205" s="1238">
        <f>2616.336+1817.868</f>
        <v>4434.2039999999997</v>
      </c>
      <c r="P205" s="1238">
        <v>1000</v>
      </c>
      <c r="Q205" s="1238"/>
      <c r="R205" s="1238"/>
      <c r="S205" s="1238"/>
      <c r="T205" s="1238">
        <v>1560</v>
      </c>
      <c r="U205" s="1238"/>
      <c r="V205" s="1238">
        <v>1500</v>
      </c>
      <c r="W205" s="1238">
        <v>2700</v>
      </c>
      <c r="X205" s="1238">
        <v>1200</v>
      </c>
      <c r="Y205" s="1238">
        <v>1000</v>
      </c>
    </row>
    <row r="206" spans="1:27" ht="36">
      <c r="B206" s="1134"/>
      <c r="C206" s="1091" t="s">
        <v>34</v>
      </c>
      <c r="D206" s="1432">
        <v>2</v>
      </c>
      <c r="E206" s="1097" t="s">
        <v>402</v>
      </c>
      <c r="F206" s="1232">
        <f t="shared" si="37"/>
        <v>60660</v>
      </c>
      <c r="G206" s="1232">
        <f t="shared" si="38"/>
        <v>35000</v>
      </c>
      <c r="H206" s="1244">
        <v>35000</v>
      </c>
      <c r="I206" s="1239"/>
      <c r="J206" s="1239"/>
      <c r="K206" s="1239"/>
      <c r="L206" s="1239"/>
      <c r="M206" s="1232">
        <f t="shared" si="39"/>
        <v>25660</v>
      </c>
      <c r="N206" s="1240">
        <v>3300</v>
      </c>
      <c r="O206" s="1238"/>
      <c r="P206" s="1240">
        <v>1180</v>
      </c>
      <c r="Q206" s="1240">
        <v>4600</v>
      </c>
      <c r="R206" s="1255"/>
      <c r="S206" s="1240">
        <v>1480</v>
      </c>
      <c r="T206" s="1240">
        <v>4180</v>
      </c>
      <c r="U206" s="1240"/>
      <c r="V206" s="1240">
        <v>2760</v>
      </c>
      <c r="W206" s="1238">
        <v>3350</v>
      </c>
      <c r="X206" s="1240">
        <v>2160</v>
      </c>
      <c r="Y206" s="1240">
        <v>2650</v>
      </c>
    </row>
    <row r="207" spans="1:27" ht="36">
      <c r="B207" s="1134"/>
      <c r="C207" s="1091" t="s">
        <v>34</v>
      </c>
      <c r="D207" s="1432">
        <v>3</v>
      </c>
      <c r="E207" s="1086" t="s">
        <v>679</v>
      </c>
      <c r="F207" s="1232"/>
      <c r="G207" s="1232"/>
      <c r="H207" s="1244"/>
      <c r="I207" s="1239"/>
      <c r="J207" s="1239"/>
      <c r="K207" s="1239"/>
      <c r="L207" s="1239"/>
      <c r="M207" s="1232"/>
      <c r="N207" s="1240"/>
      <c r="O207" s="1238"/>
      <c r="P207" s="1240"/>
      <c r="Q207" s="1240"/>
      <c r="R207" s="1255"/>
      <c r="S207" s="1240"/>
      <c r="T207" s="1240"/>
      <c r="U207" s="1240"/>
      <c r="V207" s="1238"/>
      <c r="W207" s="1238"/>
      <c r="X207" s="1240"/>
      <c r="Y207" s="1240"/>
    </row>
    <row r="208" spans="1:27" ht="84">
      <c r="B208" s="1134"/>
      <c r="C208" s="1091" t="s">
        <v>34</v>
      </c>
      <c r="D208" s="1432">
        <v>4</v>
      </c>
      <c r="E208" s="1102" t="s">
        <v>91</v>
      </c>
      <c r="F208" s="1232"/>
      <c r="G208" s="1232"/>
      <c r="H208" s="1244"/>
      <c r="I208" s="1239"/>
      <c r="J208" s="1239"/>
      <c r="K208" s="1239"/>
      <c r="L208" s="1239"/>
      <c r="M208" s="1232"/>
      <c r="N208" s="1240"/>
      <c r="O208" s="1238"/>
      <c r="P208" s="1240"/>
      <c r="Q208" s="1240"/>
      <c r="R208" s="1255"/>
      <c r="S208" s="1240"/>
      <c r="T208" s="1240"/>
      <c r="U208" s="1240"/>
      <c r="V208" s="1238"/>
      <c r="W208" s="1238"/>
      <c r="X208" s="1240"/>
      <c r="Y208" s="1240"/>
    </row>
    <row r="209" spans="1:25" ht="48">
      <c r="B209" s="1134"/>
      <c r="C209" s="1091" t="s">
        <v>34</v>
      </c>
      <c r="D209" s="1432">
        <v>5</v>
      </c>
      <c r="E209" s="1135" t="s">
        <v>404</v>
      </c>
      <c r="F209" s="1232"/>
      <c r="G209" s="1232"/>
      <c r="H209" s="1238"/>
      <c r="I209" s="1239"/>
      <c r="J209" s="1239"/>
      <c r="K209" s="1239"/>
      <c r="L209" s="1239"/>
      <c r="M209" s="1232"/>
      <c r="N209" s="1240"/>
      <c r="O209" s="1238"/>
      <c r="P209" s="1238"/>
      <c r="Q209" s="1238"/>
      <c r="R209" s="1238"/>
      <c r="S209" s="1238"/>
      <c r="T209" s="1238"/>
      <c r="U209" s="1238"/>
      <c r="V209" s="1238"/>
      <c r="W209" s="1238"/>
      <c r="X209" s="1267"/>
      <c r="Y209" s="1267"/>
    </row>
    <row r="210" spans="1:25" ht="24">
      <c r="B210" s="1134"/>
      <c r="C210" s="1091" t="s">
        <v>34</v>
      </c>
      <c r="D210" s="1432">
        <v>6</v>
      </c>
      <c r="E210" s="1112" t="s">
        <v>680</v>
      </c>
      <c r="F210" s="1232">
        <f t="shared" si="37"/>
        <v>43400</v>
      </c>
      <c r="G210" s="1232">
        <f t="shared" si="38"/>
        <v>0</v>
      </c>
      <c r="H210" s="1238"/>
      <c r="I210" s="1239"/>
      <c r="J210" s="1239"/>
      <c r="K210" s="1239"/>
      <c r="L210" s="1239"/>
      <c r="M210" s="1232">
        <f t="shared" si="39"/>
        <v>43400</v>
      </c>
      <c r="N210" s="1240">
        <v>38400</v>
      </c>
      <c r="O210" s="1238"/>
      <c r="P210" s="1238"/>
      <c r="Q210" s="1238"/>
      <c r="R210" s="1238"/>
      <c r="S210" s="1238"/>
      <c r="T210" s="1238">
        <v>5000</v>
      </c>
      <c r="U210" s="1238"/>
      <c r="V210" s="1238"/>
      <c r="W210" s="1238"/>
      <c r="X210" s="1267"/>
      <c r="Y210" s="1267"/>
    </row>
    <row r="211" spans="1:25" ht="84">
      <c r="B211" s="1124"/>
      <c r="C211" s="1091" t="s">
        <v>34</v>
      </c>
      <c r="D211" s="1432">
        <v>7</v>
      </c>
      <c r="E211" s="1113" t="s">
        <v>91</v>
      </c>
      <c r="F211" s="1232"/>
      <c r="G211" s="1232"/>
      <c r="H211" s="1257"/>
      <c r="I211" s="1239"/>
      <c r="J211" s="1239"/>
      <c r="K211" s="1239"/>
      <c r="L211" s="1239"/>
      <c r="M211" s="1232"/>
      <c r="N211" s="1240"/>
      <c r="O211" s="1238"/>
      <c r="P211" s="1244"/>
      <c r="Q211" s="1244"/>
      <c r="R211" s="1245"/>
      <c r="S211" s="1244"/>
      <c r="T211" s="1244"/>
      <c r="U211" s="1244"/>
      <c r="V211" s="1238"/>
      <c r="W211" s="1238"/>
      <c r="X211" s="1244"/>
      <c r="Y211" s="1240"/>
    </row>
    <row r="212" spans="1:25" s="1136" customFormat="1" ht="24">
      <c r="A212" s="1136">
        <v>4</v>
      </c>
      <c r="B212" s="1119">
        <v>4</v>
      </c>
      <c r="C212" s="1077" t="s">
        <v>34</v>
      </c>
      <c r="D212" s="1432">
        <v>8</v>
      </c>
      <c r="E212" s="1292" t="s">
        <v>240</v>
      </c>
      <c r="F212" s="1232">
        <f t="shared" si="37"/>
        <v>314298</v>
      </c>
      <c r="G212" s="1232">
        <f t="shared" si="38"/>
        <v>165000</v>
      </c>
      <c r="H212" s="1233">
        <f t="shared" ref="H212:Y212" si="41">SUM(H213:H231)</f>
        <v>165000</v>
      </c>
      <c r="I212" s="1234">
        <f t="shared" si="41"/>
        <v>0</v>
      </c>
      <c r="J212" s="1234">
        <f t="shared" si="41"/>
        <v>0</v>
      </c>
      <c r="K212" s="1234">
        <f t="shared" si="41"/>
        <v>0</v>
      </c>
      <c r="L212" s="1234">
        <f t="shared" si="41"/>
        <v>0</v>
      </c>
      <c r="M212" s="1232">
        <f t="shared" si="39"/>
        <v>149298</v>
      </c>
      <c r="N212" s="1233">
        <f t="shared" si="41"/>
        <v>9800</v>
      </c>
      <c r="O212" s="1233">
        <f t="shared" si="41"/>
        <v>36200</v>
      </c>
      <c r="P212" s="1233">
        <f t="shared" si="41"/>
        <v>4680</v>
      </c>
      <c r="Q212" s="1233">
        <f t="shared" si="41"/>
        <v>6390</v>
      </c>
      <c r="R212" s="1233">
        <f t="shared" si="41"/>
        <v>2820</v>
      </c>
      <c r="S212" s="1233">
        <f t="shared" si="41"/>
        <v>9010</v>
      </c>
      <c r="T212" s="1233">
        <f t="shared" si="41"/>
        <v>12710</v>
      </c>
      <c r="U212" s="1233">
        <f t="shared" si="41"/>
        <v>9700</v>
      </c>
      <c r="V212" s="1233">
        <f t="shared" si="41"/>
        <v>13920</v>
      </c>
      <c r="W212" s="1233">
        <f t="shared" si="41"/>
        <v>29828</v>
      </c>
      <c r="X212" s="1233">
        <f t="shared" si="41"/>
        <v>6200</v>
      </c>
      <c r="Y212" s="1233">
        <f t="shared" si="41"/>
        <v>8040</v>
      </c>
    </row>
    <row r="213" spans="1:25" s="1088" customFormat="1" ht="36">
      <c r="B213" s="1092"/>
      <c r="C213" s="1084" t="s">
        <v>34</v>
      </c>
      <c r="D213" s="1432">
        <v>9</v>
      </c>
      <c r="E213" s="1109" t="s">
        <v>681</v>
      </c>
      <c r="F213" s="1263"/>
      <c r="G213" s="1263"/>
      <c r="H213" s="1247"/>
      <c r="I213" s="1239"/>
      <c r="J213" s="1239"/>
      <c r="K213" s="1239"/>
      <c r="L213" s="1239"/>
      <c r="M213" s="1263"/>
      <c r="N213" s="1268"/>
      <c r="O213" s="1238"/>
      <c r="P213" s="1240"/>
      <c r="Q213" s="1268"/>
      <c r="R213" s="1255"/>
      <c r="S213" s="1268"/>
      <c r="T213" s="1268"/>
      <c r="U213" s="1240"/>
      <c r="V213" s="1240"/>
      <c r="W213" s="1268"/>
      <c r="X213" s="1268"/>
      <c r="Y213" s="1268"/>
    </row>
    <row r="214" spans="1:25" s="1088" customFormat="1" ht="60">
      <c r="B214" s="1092"/>
      <c r="C214" s="1084" t="s">
        <v>34</v>
      </c>
      <c r="D214" s="1432">
        <v>10</v>
      </c>
      <c r="E214" s="1105" t="s">
        <v>326</v>
      </c>
      <c r="F214" s="1263">
        <f t="shared" si="37"/>
        <v>48000</v>
      </c>
      <c r="G214" s="1263">
        <f t="shared" si="38"/>
        <v>40000</v>
      </c>
      <c r="H214" s="1247">
        <v>40000</v>
      </c>
      <c r="I214" s="1239"/>
      <c r="J214" s="1239"/>
      <c r="K214" s="1239"/>
      <c r="L214" s="1239"/>
      <c r="M214" s="1263">
        <f t="shared" si="39"/>
        <v>8000</v>
      </c>
      <c r="N214" s="1268"/>
      <c r="O214" s="1238">
        <v>8000</v>
      </c>
      <c r="P214" s="1240"/>
      <c r="Q214" s="1269"/>
      <c r="R214" s="1255">
        <v>0</v>
      </c>
      <c r="S214" s="1268"/>
      <c r="T214" s="1268"/>
      <c r="U214" s="1240"/>
      <c r="V214" s="1268"/>
      <c r="W214" s="1268"/>
      <c r="X214" s="1269"/>
      <c r="Y214" s="1268">
        <v>0</v>
      </c>
    </row>
    <row r="215" spans="1:25" s="1088" customFormat="1" ht="84">
      <c r="B215" s="1092"/>
      <c r="C215" s="1084" t="s">
        <v>34</v>
      </c>
      <c r="D215" s="1432">
        <v>11</v>
      </c>
      <c r="E215" s="1287" t="s">
        <v>327</v>
      </c>
      <c r="F215" s="1263">
        <f t="shared" si="37"/>
        <v>30000</v>
      </c>
      <c r="G215" s="1263">
        <f t="shared" si="38"/>
        <v>20000</v>
      </c>
      <c r="H215" s="1247">
        <v>20000</v>
      </c>
      <c r="I215" s="1239"/>
      <c r="J215" s="1239"/>
      <c r="K215" s="1239"/>
      <c r="L215" s="1239"/>
      <c r="M215" s="1263">
        <f t="shared" si="39"/>
        <v>10000</v>
      </c>
      <c r="N215" s="1268"/>
      <c r="O215" s="1238">
        <v>10000</v>
      </c>
      <c r="P215" s="1240"/>
      <c r="Q215" s="1269"/>
      <c r="R215" s="1255">
        <v>0</v>
      </c>
      <c r="S215" s="1268"/>
      <c r="T215" s="1268"/>
      <c r="U215" s="1240"/>
      <c r="V215" s="1268"/>
      <c r="W215" s="1268"/>
      <c r="X215" s="1269"/>
      <c r="Y215" s="1268">
        <v>0</v>
      </c>
    </row>
    <row r="216" spans="1:25" s="1088" customFormat="1" ht="60">
      <c r="B216" s="1092"/>
      <c r="C216" s="1084" t="s">
        <v>34</v>
      </c>
      <c r="D216" s="1432">
        <v>12</v>
      </c>
      <c r="E216" s="1096" t="s">
        <v>682</v>
      </c>
      <c r="F216" s="1263"/>
      <c r="G216" s="1263"/>
      <c r="H216" s="1247"/>
      <c r="I216" s="1239"/>
      <c r="J216" s="1239"/>
      <c r="K216" s="1239"/>
      <c r="L216" s="1239"/>
      <c r="M216" s="1263"/>
      <c r="N216" s="1268"/>
      <c r="O216" s="1238"/>
      <c r="P216" s="1240"/>
      <c r="Q216" s="1269"/>
      <c r="R216" s="1255"/>
      <c r="S216" s="1251"/>
      <c r="T216" s="1268"/>
      <c r="U216" s="1240"/>
      <c r="V216" s="1268"/>
      <c r="W216" s="1268"/>
      <c r="X216" s="1240"/>
      <c r="Y216" s="1268"/>
    </row>
    <row r="217" spans="1:25" s="1088" customFormat="1">
      <c r="B217" s="1092"/>
      <c r="C217" s="1084" t="s">
        <v>34</v>
      </c>
      <c r="D217" s="1432">
        <v>13</v>
      </c>
      <c r="E217" s="1105" t="s">
        <v>92</v>
      </c>
      <c r="F217" s="1263">
        <f t="shared" si="37"/>
        <v>84988</v>
      </c>
      <c r="G217" s="1263">
        <f t="shared" si="38"/>
        <v>0</v>
      </c>
      <c r="H217" s="1247"/>
      <c r="I217" s="1239"/>
      <c r="J217" s="1239"/>
      <c r="K217" s="1239"/>
      <c r="L217" s="1239"/>
      <c r="M217" s="1263">
        <f t="shared" si="39"/>
        <v>84988</v>
      </c>
      <c r="N217" s="1269">
        <v>9800</v>
      </c>
      <c r="O217" s="1238">
        <v>8000</v>
      </c>
      <c r="P217" s="1240">
        <v>4680</v>
      </c>
      <c r="Q217" s="1269">
        <v>6390</v>
      </c>
      <c r="R217" s="1255">
        <v>2820</v>
      </c>
      <c r="S217" s="1269">
        <v>9010</v>
      </c>
      <c r="T217" s="1269">
        <v>4060</v>
      </c>
      <c r="U217" s="1240">
        <v>9700</v>
      </c>
      <c r="V217" s="1269">
        <v>2760</v>
      </c>
      <c r="W217" s="1269">
        <v>13528</v>
      </c>
      <c r="X217" s="1269">
        <f>3700+2500</f>
        <v>6200</v>
      </c>
      <c r="Y217" s="1269">
        <v>8040</v>
      </c>
    </row>
    <row r="218" spans="1:25" s="1088" customFormat="1" ht="36">
      <c r="B218" s="1092"/>
      <c r="C218" s="1084" t="s">
        <v>34</v>
      </c>
      <c r="D218" s="1432">
        <v>14</v>
      </c>
      <c r="E218" s="1109" t="s">
        <v>683</v>
      </c>
      <c r="F218" s="1263"/>
      <c r="G218" s="1263"/>
      <c r="H218" s="1247"/>
      <c r="I218" s="1239"/>
      <c r="J218" s="1239"/>
      <c r="K218" s="1239"/>
      <c r="L218" s="1239"/>
      <c r="M218" s="1263"/>
      <c r="N218" s="1269"/>
      <c r="O218" s="1238"/>
      <c r="P218" s="1240"/>
      <c r="Q218" s="1269"/>
      <c r="R218" s="1255"/>
      <c r="S218" s="1269"/>
      <c r="T218" s="1269"/>
      <c r="U218" s="1240"/>
      <c r="V218" s="1269"/>
      <c r="W218" s="1269"/>
      <c r="X218" s="1269"/>
      <c r="Y218" s="1269"/>
    </row>
    <row r="219" spans="1:25" s="1088" customFormat="1">
      <c r="B219" s="1092"/>
      <c r="C219" s="1084" t="s">
        <v>34</v>
      </c>
      <c r="D219" s="1432">
        <v>15</v>
      </c>
      <c r="E219" s="1085" t="s">
        <v>291</v>
      </c>
      <c r="F219" s="1263">
        <f t="shared" si="37"/>
        <v>0</v>
      </c>
      <c r="G219" s="1263">
        <f t="shared" si="38"/>
        <v>0</v>
      </c>
      <c r="H219" s="1247">
        <v>0</v>
      </c>
      <c r="I219" s="1239"/>
      <c r="J219" s="1239"/>
      <c r="K219" s="1239"/>
      <c r="L219" s="1239"/>
      <c r="M219" s="1263">
        <f t="shared" si="39"/>
        <v>0</v>
      </c>
      <c r="N219" s="1251"/>
      <c r="O219" s="1238"/>
      <c r="P219" s="1240"/>
      <c r="Q219" s="1240"/>
      <c r="R219" s="1255"/>
      <c r="S219" s="1251"/>
      <c r="T219" s="1251"/>
      <c r="U219" s="1251"/>
      <c r="V219" s="1238"/>
      <c r="W219" s="1251"/>
      <c r="X219" s="1251"/>
      <c r="Y219" s="1251"/>
    </row>
    <row r="220" spans="1:25" s="1088" customFormat="1">
      <c r="B220" s="1092"/>
      <c r="C220" s="1084" t="s">
        <v>34</v>
      </c>
      <c r="D220" s="1432">
        <v>16</v>
      </c>
      <c r="E220" s="1085" t="s">
        <v>290</v>
      </c>
      <c r="F220" s="1263">
        <f t="shared" si="37"/>
        <v>45000</v>
      </c>
      <c r="G220" s="1263">
        <f t="shared" si="38"/>
        <v>45000</v>
      </c>
      <c r="H220" s="1247">
        <v>45000</v>
      </c>
      <c r="I220" s="1239"/>
      <c r="J220" s="1239"/>
      <c r="K220" s="1239"/>
      <c r="L220" s="1239"/>
      <c r="M220" s="1263">
        <f t="shared" si="39"/>
        <v>0</v>
      </c>
      <c r="N220" s="1251"/>
      <c r="O220" s="1238"/>
      <c r="P220" s="1240"/>
      <c r="Q220" s="1251"/>
      <c r="R220" s="1255"/>
      <c r="S220" s="1251"/>
      <c r="T220" s="1251"/>
      <c r="U220" s="1251"/>
      <c r="V220" s="1238"/>
      <c r="W220" s="1251"/>
      <c r="X220" s="1251"/>
      <c r="Y220" s="1251"/>
    </row>
    <row r="221" spans="1:25" s="1088" customFormat="1">
      <c r="B221" s="1092"/>
      <c r="C221" s="1084" t="s">
        <v>34</v>
      </c>
      <c r="D221" s="1432">
        <v>17</v>
      </c>
      <c r="E221" s="1085" t="s">
        <v>292</v>
      </c>
      <c r="F221" s="1263">
        <f t="shared" si="37"/>
        <v>60000</v>
      </c>
      <c r="G221" s="1263">
        <f t="shared" si="38"/>
        <v>60000</v>
      </c>
      <c r="H221" s="1247">
        <v>60000</v>
      </c>
      <c r="I221" s="1239"/>
      <c r="J221" s="1239"/>
      <c r="K221" s="1239"/>
      <c r="L221" s="1239"/>
      <c r="M221" s="1263">
        <f t="shared" si="39"/>
        <v>0</v>
      </c>
      <c r="N221" s="1251"/>
      <c r="O221" s="1238"/>
      <c r="P221" s="1240"/>
      <c r="Q221" s="1251"/>
      <c r="R221" s="1240"/>
      <c r="S221" s="1251"/>
      <c r="T221" s="1251"/>
      <c r="U221" s="1251"/>
      <c r="V221" s="1238"/>
      <c r="W221" s="1251"/>
      <c r="X221" s="1251"/>
      <c r="Y221" s="1251"/>
    </row>
    <row r="222" spans="1:25" s="1088" customFormat="1" ht="60">
      <c r="B222" s="1092"/>
      <c r="C222" s="1084" t="s">
        <v>34</v>
      </c>
      <c r="D222" s="1432">
        <v>18</v>
      </c>
      <c r="E222" s="1137" t="s">
        <v>346</v>
      </c>
      <c r="F222" s="1263">
        <f t="shared" si="37"/>
        <v>19210</v>
      </c>
      <c r="G222" s="1263">
        <f t="shared" si="38"/>
        <v>0</v>
      </c>
      <c r="H222" s="1247"/>
      <c r="I222" s="1239"/>
      <c r="J222" s="1239"/>
      <c r="K222" s="1239"/>
      <c r="L222" s="1239"/>
      <c r="M222" s="1263">
        <f t="shared" si="39"/>
        <v>19210</v>
      </c>
      <c r="N222" s="1269"/>
      <c r="O222" s="1238">
        <v>0</v>
      </c>
      <c r="P222" s="1240"/>
      <c r="Q222" s="1269"/>
      <c r="R222" s="1255">
        <v>0</v>
      </c>
      <c r="S222" s="1269"/>
      <c r="T222" s="1269">
        <v>1050</v>
      </c>
      <c r="U222" s="1240"/>
      <c r="V222" s="1240">
        <v>11160</v>
      </c>
      <c r="W222" s="1269">
        <v>7000</v>
      </c>
      <c r="X222" s="1269"/>
      <c r="Y222" s="1269">
        <v>0</v>
      </c>
    </row>
    <row r="223" spans="1:25" s="1088" customFormat="1">
      <c r="B223" s="1092"/>
      <c r="C223" s="1084" t="s">
        <v>34</v>
      </c>
      <c r="D223" s="1432">
        <v>19</v>
      </c>
      <c r="E223" s="1137" t="s">
        <v>347</v>
      </c>
      <c r="F223" s="1263">
        <f t="shared" si="37"/>
        <v>5100</v>
      </c>
      <c r="G223" s="1263">
        <f t="shared" si="38"/>
        <v>0</v>
      </c>
      <c r="H223" s="1247"/>
      <c r="I223" s="1239"/>
      <c r="J223" s="1239"/>
      <c r="K223" s="1239"/>
      <c r="L223" s="1239"/>
      <c r="M223" s="1263">
        <f t="shared" si="39"/>
        <v>5100</v>
      </c>
      <c r="N223" s="1268"/>
      <c r="O223" s="1238">
        <v>0</v>
      </c>
      <c r="P223" s="1240"/>
      <c r="Q223" s="1269"/>
      <c r="R223" s="1255">
        <v>0</v>
      </c>
      <c r="S223" s="1268"/>
      <c r="T223" s="1268"/>
      <c r="U223" s="1240"/>
      <c r="V223" s="1268"/>
      <c r="W223" s="1268">
        <v>5100</v>
      </c>
      <c r="X223" s="1268"/>
      <c r="Y223" s="1268">
        <v>0</v>
      </c>
    </row>
    <row r="224" spans="1:25" s="1088" customFormat="1" ht="36">
      <c r="B224" s="1092"/>
      <c r="C224" s="1084" t="s">
        <v>34</v>
      </c>
      <c r="D224" s="1432">
        <v>20</v>
      </c>
      <c r="E224" s="1115" t="s">
        <v>684</v>
      </c>
      <c r="F224" s="1263"/>
      <c r="G224" s="1263"/>
      <c r="H224" s="1247"/>
      <c r="I224" s="1239"/>
      <c r="J224" s="1239"/>
      <c r="K224" s="1239"/>
      <c r="L224" s="1239"/>
      <c r="M224" s="1263"/>
      <c r="N224" s="1251"/>
      <c r="O224" s="1238"/>
      <c r="P224" s="1240"/>
      <c r="Q224" s="1240"/>
      <c r="R224" s="1255"/>
      <c r="S224" s="1251"/>
      <c r="T224" s="1251"/>
      <c r="U224" s="1240"/>
      <c r="V224" s="1240"/>
      <c r="W224" s="1251"/>
      <c r="X224" s="1251"/>
      <c r="Y224" s="1251"/>
    </row>
    <row r="225" spans="1:53" s="1088" customFormat="1" ht="24">
      <c r="B225" s="1092"/>
      <c r="C225" s="1084" t="s">
        <v>34</v>
      </c>
      <c r="D225" s="1432">
        <v>21</v>
      </c>
      <c r="E225" s="1102" t="s">
        <v>93</v>
      </c>
      <c r="F225" s="1263"/>
      <c r="G225" s="1263"/>
      <c r="H225" s="1247"/>
      <c r="I225" s="1239"/>
      <c r="J225" s="1239"/>
      <c r="K225" s="1239"/>
      <c r="L225" s="1239"/>
      <c r="M225" s="1263"/>
      <c r="N225" s="1251"/>
      <c r="O225" s="1238"/>
      <c r="P225" s="1240"/>
      <c r="Q225" s="1240"/>
      <c r="R225" s="1255"/>
      <c r="S225" s="1251"/>
      <c r="T225" s="1251"/>
      <c r="U225" s="1251"/>
      <c r="V225" s="1238"/>
      <c r="W225" s="1251"/>
      <c r="X225" s="1251"/>
      <c r="Y225" s="1251"/>
    </row>
    <row r="226" spans="1:53" s="1088" customFormat="1" ht="24">
      <c r="B226" s="1092"/>
      <c r="C226" s="1084" t="s">
        <v>34</v>
      </c>
      <c r="D226" s="1432">
        <v>22</v>
      </c>
      <c r="E226" s="1102" t="s">
        <v>94</v>
      </c>
      <c r="F226" s="1263">
        <f t="shared" si="37"/>
        <v>22000</v>
      </c>
      <c r="G226" s="1263">
        <f t="shared" si="38"/>
        <v>0</v>
      </c>
      <c r="H226" s="1247"/>
      <c r="I226" s="1239"/>
      <c r="J226" s="1239"/>
      <c r="K226" s="1239"/>
      <c r="L226" s="1239"/>
      <c r="M226" s="1263">
        <f t="shared" si="39"/>
        <v>22000</v>
      </c>
      <c r="N226" s="1251"/>
      <c r="O226" s="1238">
        <v>10200</v>
      </c>
      <c r="P226" s="1240"/>
      <c r="Q226" s="1240"/>
      <c r="R226" s="1255">
        <v>0</v>
      </c>
      <c r="S226" s="1251"/>
      <c r="T226" s="1251">
        <v>7600</v>
      </c>
      <c r="U226" s="1251"/>
      <c r="V226" s="1238"/>
      <c r="W226" s="1251">
        <v>4200</v>
      </c>
      <c r="X226" s="1251"/>
      <c r="Y226" s="1251">
        <v>0</v>
      </c>
    </row>
    <row r="227" spans="1:53" s="1088" customFormat="1" ht="24">
      <c r="B227" s="1092"/>
      <c r="C227" s="1084" t="s">
        <v>34</v>
      </c>
      <c r="D227" s="1432">
        <v>23</v>
      </c>
      <c r="E227" s="1138" t="s">
        <v>685</v>
      </c>
      <c r="F227" s="1263"/>
      <c r="G227" s="1263"/>
      <c r="H227" s="1247"/>
      <c r="I227" s="1239"/>
      <c r="J227" s="1239"/>
      <c r="K227" s="1239"/>
      <c r="L227" s="1239"/>
      <c r="M227" s="1263"/>
      <c r="N227" s="1251"/>
      <c r="O227" s="1238"/>
      <c r="P227" s="1240"/>
      <c r="Q227" s="1240"/>
      <c r="R227" s="1255"/>
      <c r="S227" s="1251"/>
      <c r="T227" s="1251"/>
      <c r="U227" s="1251"/>
      <c r="V227" s="1238"/>
      <c r="W227" s="1251"/>
      <c r="X227" s="1251"/>
      <c r="Y227" s="1251"/>
    </row>
    <row r="228" spans="1:53" s="1088" customFormat="1" ht="24">
      <c r="B228" s="1092"/>
      <c r="C228" s="1084" t="s">
        <v>34</v>
      </c>
      <c r="D228" s="1432">
        <v>24</v>
      </c>
      <c r="E228" s="1138" t="s">
        <v>686</v>
      </c>
      <c r="F228" s="1263"/>
      <c r="G228" s="1263"/>
      <c r="H228" s="1247"/>
      <c r="I228" s="1239"/>
      <c r="J228" s="1239"/>
      <c r="K228" s="1239"/>
      <c r="L228" s="1239"/>
      <c r="M228" s="1263"/>
      <c r="N228" s="1251"/>
      <c r="O228" s="1238"/>
      <c r="P228" s="1240"/>
      <c r="Q228" s="1251"/>
      <c r="R228" s="1255"/>
      <c r="S228" s="1251"/>
      <c r="T228" s="1251"/>
      <c r="U228" s="1251"/>
      <c r="V228" s="1238"/>
      <c r="W228" s="1251"/>
      <c r="X228" s="1251"/>
      <c r="Y228" s="1251"/>
    </row>
    <row r="229" spans="1:53" s="1088" customFormat="1">
      <c r="B229" s="1092"/>
      <c r="C229" s="1084" t="s">
        <v>34</v>
      </c>
      <c r="D229" s="1432">
        <v>25</v>
      </c>
      <c r="E229" s="1106" t="s">
        <v>213</v>
      </c>
      <c r="F229" s="1263"/>
      <c r="G229" s="1263"/>
      <c r="H229" s="1247"/>
      <c r="I229" s="1239"/>
      <c r="J229" s="1239"/>
      <c r="K229" s="1239"/>
      <c r="L229" s="1239"/>
      <c r="M229" s="1263"/>
      <c r="N229" s="1251"/>
      <c r="O229" s="1238"/>
      <c r="P229" s="1240"/>
      <c r="Q229" s="1251"/>
      <c r="R229" s="1240"/>
      <c r="S229" s="1251"/>
      <c r="T229" s="1251"/>
      <c r="U229" s="1251"/>
      <c r="V229" s="1238"/>
      <c r="W229" s="1251"/>
      <c r="X229" s="1251"/>
      <c r="Y229" s="1251"/>
    </row>
    <row r="230" spans="1:53" s="1088" customFormat="1" ht="36">
      <c r="B230" s="1092"/>
      <c r="C230" s="1084" t="s">
        <v>34</v>
      </c>
      <c r="D230" s="1432">
        <v>26</v>
      </c>
      <c r="E230" s="1287" t="s">
        <v>351</v>
      </c>
      <c r="F230" s="1263"/>
      <c r="G230" s="1263"/>
      <c r="H230" s="1247"/>
      <c r="I230" s="1239"/>
      <c r="J230" s="1239"/>
      <c r="K230" s="1239"/>
      <c r="L230" s="1239"/>
      <c r="M230" s="1263"/>
      <c r="N230" s="1251"/>
      <c r="O230" s="1238"/>
      <c r="P230" s="1240"/>
      <c r="Q230" s="1251"/>
      <c r="R230" s="1240"/>
      <c r="S230" s="1251"/>
      <c r="T230" s="1251"/>
      <c r="U230" s="1251"/>
      <c r="V230" s="1238"/>
      <c r="W230" s="1251"/>
      <c r="X230" s="1251"/>
      <c r="Y230" s="1251"/>
    </row>
    <row r="231" spans="1:53" s="1088" customFormat="1" ht="36">
      <c r="B231" s="1092"/>
      <c r="C231" s="1084" t="s">
        <v>34</v>
      </c>
      <c r="D231" s="1432">
        <v>27</v>
      </c>
      <c r="E231" s="1139" t="s">
        <v>687</v>
      </c>
      <c r="F231" s="1263"/>
      <c r="G231" s="1263"/>
      <c r="H231" s="1247"/>
      <c r="I231" s="1239"/>
      <c r="J231" s="1239"/>
      <c r="K231" s="1239"/>
      <c r="L231" s="1239"/>
      <c r="M231" s="1263"/>
      <c r="N231" s="1251"/>
      <c r="O231" s="1238"/>
      <c r="P231" s="1240"/>
      <c r="Q231" s="1251"/>
      <c r="R231" s="1240"/>
      <c r="S231" s="1251"/>
      <c r="T231" s="1251"/>
      <c r="U231" s="1251"/>
      <c r="V231" s="1238"/>
      <c r="W231" s="1251"/>
      <c r="X231" s="1251"/>
      <c r="Y231" s="1251"/>
    </row>
    <row r="232" spans="1:53" s="1075" customFormat="1">
      <c r="A232" s="1075">
        <v>5</v>
      </c>
      <c r="B232" s="1093">
        <v>5</v>
      </c>
      <c r="C232" s="1077" t="s">
        <v>34</v>
      </c>
      <c r="D232" s="1303"/>
      <c r="E232" s="1286" t="s">
        <v>236</v>
      </c>
      <c r="F232" s="1249">
        <f t="shared" si="37"/>
        <v>11404126</v>
      </c>
      <c r="G232" s="1249">
        <f t="shared" si="38"/>
        <v>1230070</v>
      </c>
      <c r="H232" s="1233">
        <f>SUM(H233:H262)</f>
        <v>1230070</v>
      </c>
      <c r="I232" s="1234">
        <f t="shared" ref="I232:Y232" si="42">SUM(I233:I262)</f>
        <v>0</v>
      </c>
      <c r="J232" s="1234">
        <f t="shared" si="42"/>
        <v>0</v>
      </c>
      <c r="K232" s="1234">
        <f t="shared" si="42"/>
        <v>0</v>
      </c>
      <c r="L232" s="1234">
        <f t="shared" si="42"/>
        <v>0</v>
      </c>
      <c r="M232" s="1249">
        <f t="shared" si="39"/>
        <v>10174056</v>
      </c>
      <c r="N232" s="1233">
        <f t="shared" si="42"/>
        <v>2372983</v>
      </c>
      <c r="O232" s="1233">
        <f t="shared" si="42"/>
        <v>643210</v>
      </c>
      <c r="P232" s="1233">
        <f t="shared" si="42"/>
        <v>801695</v>
      </c>
      <c r="Q232" s="1233">
        <f t="shared" si="42"/>
        <v>1123086</v>
      </c>
      <c r="R232" s="1233">
        <f t="shared" si="42"/>
        <v>1101526</v>
      </c>
      <c r="S232" s="1233">
        <f t="shared" si="42"/>
        <v>711665</v>
      </c>
      <c r="T232" s="1233">
        <f t="shared" si="42"/>
        <v>762900</v>
      </c>
      <c r="U232" s="1233">
        <f t="shared" si="42"/>
        <v>284308</v>
      </c>
      <c r="V232" s="1233">
        <f t="shared" si="42"/>
        <v>864591</v>
      </c>
      <c r="W232" s="1233">
        <f t="shared" si="42"/>
        <v>536240</v>
      </c>
      <c r="X232" s="1233">
        <f t="shared" si="42"/>
        <v>471069</v>
      </c>
      <c r="Y232" s="1233">
        <f t="shared" si="42"/>
        <v>500783</v>
      </c>
    </row>
    <row r="233" spans="1:53" s="1136" customFormat="1" ht="36">
      <c r="B233" s="1134"/>
      <c r="C233" s="1091" t="s">
        <v>34</v>
      </c>
      <c r="D233" s="1432">
        <v>1</v>
      </c>
      <c r="E233" s="1135" t="s">
        <v>233</v>
      </c>
      <c r="F233" s="1232"/>
      <c r="G233" s="1232"/>
      <c r="H233" s="1254"/>
      <c r="I233" s="1239"/>
      <c r="J233" s="1239"/>
      <c r="K233" s="1239"/>
      <c r="L233" s="1239"/>
      <c r="M233" s="1232"/>
      <c r="N233" s="1238"/>
      <c r="O233" s="1238"/>
      <c r="P233" s="1254"/>
      <c r="Q233" s="1254"/>
      <c r="R233" s="1244"/>
      <c r="S233" s="1254"/>
      <c r="T233" s="1254"/>
      <c r="U233" s="1254"/>
      <c r="V233" s="1254"/>
      <c r="W233" s="1254"/>
      <c r="X233" s="1254"/>
      <c r="Y233" s="1238"/>
      <c r="Z233" s="1140"/>
      <c r="AA233" s="1140"/>
      <c r="AB233" s="1140"/>
      <c r="AC233" s="1140"/>
      <c r="AD233" s="1140"/>
      <c r="AE233" s="1140"/>
      <c r="AF233" s="1140"/>
      <c r="AG233" s="1140"/>
      <c r="AH233" s="1140"/>
      <c r="AI233" s="1140"/>
      <c r="AJ233" s="1140"/>
      <c r="AK233" s="1140"/>
      <c r="AL233" s="1140"/>
      <c r="AM233" s="1140"/>
      <c r="AN233" s="1140"/>
      <c r="AO233" s="1140"/>
      <c r="AP233" s="1140"/>
      <c r="AQ233" s="1140"/>
      <c r="AR233" s="1140"/>
      <c r="AS233" s="1140"/>
      <c r="AT233" s="1140"/>
      <c r="AU233" s="1140"/>
      <c r="AV233" s="1140"/>
      <c r="AW233" s="1140"/>
      <c r="AX233" s="1140"/>
      <c r="AY233" s="1140"/>
      <c r="AZ233" s="1140"/>
      <c r="BA233" s="1140"/>
    </row>
    <row r="234" spans="1:53" s="1136" customFormat="1" ht="24">
      <c r="B234" s="1134"/>
      <c r="C234" s="1091" t="s">
        <v>34</v>
      </c>
      <c r="D234" s="1432">
        <v>2</v>
      </c>
      <c r="E234" s="1135" t="s">
        <v>452</v>
      </c>
      <c r="F234" s="1232"/>
      <c r="G234" s="1232"/>
      <c r="H234" s="1254"/>
      <c r="I234" s="1239"/>
      <c r="J234" s="1239"/>
      <c r="K234" s="1239"/>
      <c r="L234" s="1239"/>
      <c r="M234" s="1232"/>
      <c r="N234" s="1238"/>
      <c r="O234" s="1238"/>
      <c r="P234" s="1254"/>
      <c r="Q234" s="1254"/>
      <c r="R234" s="1254"/>
      <c r="S234" s="1254"/>
      <c r="T234" s="1254"/>
      <c r="U234" s="1254"/>
      <c r="V234" s="1254"/>
      <c r="W234" s="1254"/>
      <c r="X234" s="1254"/>
      <c r="Y234" s="1238"/>
      <c r="Z234" s="1140"/>
      <c r="AA234" s="1140"/>
      <c r="AB234" s="1140"/>
      <c r="AC234" s="1140"/>
      <c r="AD234" s="1140"/>
      <c r="AE234" s="1140"/>
      <c r="AF234" s="1140"/>
      <c r="AG234" s="1140"/>
      <c r="AH234" s="1140"/>
      <c r="AI234" s="1140"/>
      <c r="AJ234" s="1140"/>
      <c r="AK234" s="1140"/>
      <c r="AL234" s="1140"/>
      <c r="AM234" s="1140"/>
      <c r="AN234" s="1140"/>
      <c r="AO234" s="1140"/>
      <c r="AP234" s="1140"/>
      <c r="AQ234" s="1140"/>
      <c r="AR234" s="1140"/>
      <c r="AS234" s="1140"/>
      <c r="AT234" s="1140"/>
      <c r="AU234" s="1140"/>
      <c r="AV234" s="1140"/>
      <c r="AW234" s="1140"/>
      <c r="AX234" s="1140"/>
      <c r="AY234" s="1140"/>
      <c r="AZ234" s="1140"/>
      <c r="BA234" s="1140"/>
    </row>
    <row r="235" spans="1:53" s="1136" customFormat="1">
      <c r="B235" s="1134"/>
      <c r="C235" s="1091" t="s">
        <v>34</v>
      </c>
      <c r="D235" s="1432">
        <v>3</v>
      </c>
      <c r="E235" s="1293" t="s">
        <v>453</v>
      </c>
      <c r="F235" s="1232">
        <f t="shared" si="37"/>
        <v>245442</v>
      </c>
      <c r="G235" s="1232">
        <f t="shared" si="38"/>
        <v>40000</v>
      </c>
      <c r="H235" s="1254">
        <v>40000</v>
      </c>
      <c r="I235" s="1239"/>
      <c r="J235" s="1239"/>
      <c r="K235" s="1239"/>
      <c r="L235" s="1239"/>
      <c r="M235" s="1232">
        <f t="shared" si="39"/>
        <v>205442</v>
      </c>
      <c r="N235" s="1238">
        <v>22500</v>
      </c>
      <c r="O235" s="1238">
        <v>8000</v>
      </c>
      <c r="P235" s="1254">
        <v>24700</v>
      </c>
      <c r="Q235" s="1254">
        <v>7800</v>
      </c>
      <c r="R235" s="1254">
        <v>8100</v>
      </c>
      <c r="S235" s="1254">
        <v>8280</v>
      </c>
      <c r="T235" s="1254">
        <v>47000</v>
      </c>
      <c r="U235" s="1254">
        <v>22302</v>
      </c>
      <c r="V235" s="1254">
        <v>31300</v>
      </c>
      <c r="W235" s="1254">
        <v>9800</v>
      </c>
      <c r="X235" s="1254">
        <v>7200</v>
      </c>
      <c r="Y235" s="1238">
        <v>8460</v>
      </c>
      <c r="Z235" s="1140"/>
      <c r="AA235" s="1140"/>
      <c r="AB235" s="1140"/>
      <c r="AC235" s="1140"/>
      <c r="AD235" s="1140"/>
      <c r="AE235" s="1140"/>
      <c r="AF235" s="1140"/>
      <c r="AG235" s="1140"/>
      <c r="AH235" s="1140"/>
      <c r="AI235" s="1140"/>
      <c r="AJ235" s="1140"/>
      <c r="AK235" s="1140"/>
      <c r="AL235" s="1140"/>
      <c r="AM235" s="1140"/>
      <c r="AN235" s="1140"/>
      <c r="AO235" s="1140"/>
      <c r="AP235" s="1140"/>
      <c r="AQ235" s="1140"/>
      <c r="AR235" s="1140"/>
      <c r="AS235" s="1140"/>
      <c r="AT235" s="1140"/>
      <c r="AU235" s="1140"/>
      <c r="AV235" s="1140"/>
      <c r="AW235" s="1140"/>
      <c r="AX235" s="1140"/>
      <c r="AY235" s="1140"/>
      <c r="AZ235" s="1140"/>
      <c r="BA235" s="1140"/>
    </row>
    <row r="236" spans="1:53" s="1136" customFormat="1">
      <c r="B236" s="1134"/>
      <c r="C236" s="1091" t="s">
        <v>34</v>
      </c>
      <c r="D236" s="1432">
        <v>4</v>
      </c>
      <c r="E236" s="1141" t="s">
        <v>95</v>
      </c>
      <c r="F236" s="1232"/>
      <c r="G236" s="1232"/>
      <c r="H236" s="1254"/>
      <c r="I236" s="1239"/>
      <c r="J236" s="1239"/>
      <c r="K236" s="1239"/>
      <c r="L236" s="1239"/>
      <c r="M236" s="1232"/>
      <c r="N236" s="1238"/>
      <c r="O236" s="1238"/>
      <c r="P236" s="1254"/>
      <c r="Q236" s="1254"/>
      <c r="R236" s="1244"/>
      <c r="S236" s="1254"/>
      <c r="T236" s="1254"/>
      <c r="U236" s="1254"/>
      <c r="V236" s="1254"/>
      <c r="W236" s="1254"/>
      <c r="X236" s="1254"/>
      <c r="Y236" s="1238"/>
      <c r="Z236" s="1140"/>
      <c r="AA236" s="1140"/>
      <c r="AB236" s="1140"/>
      <c r="AC236" s="1140"/>
      <c r="AD236" s="1140"/>
      <c r="AE236" s="1140"/>
      <c r="AF236" s="1140"/>
      <c r="AG236" s="1140"/>
      <c r="AH236" s="1140"/>
      <c r="AI236" s="1140"/>
      <c r="AJ236" s="1140"/>
      <c r="AK236" s="1140"/>
      <c r="AL236" s="1140"/>
      <c r="AM236" s="1140"/>
      <c r="AN236" s="1140"/>
      <c r="AO236" s="1140"/>
      <c r="AP236" s="1140"/>
      <c r="AQ236" s="1140"/>
      <c r="AR236" s="1140"/>
      <c r="AS236" s="1140"/>
      <c r="AT236" s="1140"/>
      <c r="AU236" s="1140"/>
      <c r="AV236" s="1140"/>
      <c r="AW236" s="1140"/>
      <c r="AX236" s="1140"/>
      <c r="AY236" s="1140"/>
      <c r="AZ236" s="1140"/>
      <c r="BA236" s="1140"/>
    </row>
    <row r="237" spans="1:53" s="1142" customFormat="1" ht="48">
      <c r="B237" s="1134"/>
      <c r="C237" s="1091" t="s">
        <v>34</v>
      </c>
      <c r="D237" s="1432">
        <v>5</v>
      </c>
      <c r="E237" s="1112" t="s">
        <v>454</v>
      </c>
      <c r="F237" s="1232">
        <f t="shared" si="37"/>
        <v>509658</v>
      </c>
      <c r="G237" s="1232">
        <f t="shared" si="38"/>
        <v>100000</v>
      </c>
      <c r="H237" s="1254">
        <v>100000</v>
      </c>
      <c r="I237" s="1243"/>
      <c r="J237" s="1243"/>
      <c r="K237" s="1243"/>
      <c r="L237" s="1243"/>
      <c r="M237" s="1232">
        <f t="shared" si="39"/>
        <v>409658</v>
      </c>
      <c r="N237" s="1238">
        <v>11195</v>
      </c>
      <c r="O237" s="1242">
        <v>20000</v>
      </c>
      <c r="P237" s="1254"/>
      <c r="Q237" s="1254">
        <v>14240</v>
      </c>
      <c r="R237" s="1244">
        <v>5120</v>
      </c>
      <c r="S237" s="1254">
        <v>16272</v>
      </c>
      <c r="T237" s="1254">
        <v>25000</v>
      </c>
      <c r="U237" s="1254">
        <v>186831</v>
      </c>
      <c r="V237" s="1254">
        <v>25000</v>
      </c>
      <c r="W237" s="1254">
        <v>34000</v>
      </c>
      <c r="X237" s="1254">
        <v>36000</v>
      </c>
      <c r="Y237" s="1238">
        <v>36000</v>
      </c>
      <c r="Z237" s="1143"/>
      <c r="AA237" s="1143"/>
      <c r="AB237" s="1143"/>
      <c r="AC237" s="1143"/>
      <c r="AD237" s="1143"/>
      <c r="AE237" s="1143"/>
      <c r="AF237" s="1143"/>
      <c r="AG237" s="1143"/>
      <c r="AH237" s="1143"/>
      <c r="AI237" s="1143"/>
      <c r="AJ237" s="1143"/>
      <c r="AK237" s="1143"/>
      <c r="AL237" s="1143"/>
      <c r="AM237" s="1143"/>
      <c r="AN237" s="1143"/>
      <c r="AO237" s="1143"/>
      <c r="AP237" s="1143"/>
      <c r="AQ237" s="1143"/>
      <c r="AR237" s="1143"/>
      <c r="AS237" s="1143"/>
      <c r="AT237" s="1143"/>
      <c r="AU237" s="1143"/>
      <c r="AV237" s="1143"/>
      <c r="AW237" s="1143"/>
      <c r="AX237" s="1143"/>
      <c r="AY237" s="1143"/>
      <c r="AZ237" s="1143"/>
      <c r="BA237" s="1143"/>
    </row>
    <row r="238" spans="1:53" s="1142" customFormat="1" ht="24">
      <c r="B238" s="1134"/>
      <c r="C238" s="1091" t="s">
        <v>34</v>
      </c>
      <c r="D238" s="1432">
        <v>6</v>
      </c>
      <c r="E238" s="1135" t="s">
        <v>455</v>
      </c>
      <c r="F238" s="1232"/>
      <c r="G238" s="1232"/>
      <c r="H238" s="1254"/>
      <c r="I238" s="1243"/>
      <c r="J238" s="1243"/>
      <c r="K238" s="1243"/>
      <c r="L238" s="1243"/>
      <c r="M238" s="1232"/>
      <c r="N238" s="1238"/>
      <c r="O238" s="1242"/>
      <c r="P238" s="1254"/>
      <c r="Q238" s="1254"/>
      <c r="R238" s="1254"/>
      <c r="S238" s="1254"/>
      <c r="T238" s="1270"/>
      <c r="U238" s="1254"/>
      <c r="V238" s="1254"/>
      <c r="W238" s="1254"/>
      <c r="X238" s="1254"/>
      <c r="Y238" s="1238"/>
      <c r="Z238" s="1143"/>
      <c r="AA238" s="1143"/>
      <c r="AB238" s="1143"/>
      <c r="AC238" s="1143"/>
      <c r="AD238" s="1143"/>
      <c r="AE238" s="1143"/>
      <c r="AF238" s="1143"/>
      <c r="AG238" s="1143"/>
      <c r="AH238" s="1143"/>
      <c r="AI238" s="1143"/>
      <c r="AJ238" s="1143"/>
      <c r="AK238" s="1143"/>
      <c r="AL238" s="1143"/>
      <c r="AM238" s="1143"/>
      <c r="AN238" s="1143"/>
      <c r="AO238" s="1143"/>
      <c r="AP238" s="1143"/>
      <c r="AQ238" s="1143"/>
      <c r="AR238" s="1143"/>
      <c r="AS238" s="1143"/>
      <c r="AT238" s="1143"/>
      <c r="AU238" s="1143"/>
      <c r="AV238" s="1143"/>
      <c r="AW238" s="1143"/>
      <c r="AX238" s="1143"/>
      <c r="AY238" s="1143"/>
      <c r="AZ238" s="1143"/>
      <c r="BA238" s="1143"/>
    </row>
    <row r="239" spans="1:53" s="1142" customFormat="1" ht="24">
      <c r="B239" s="1134"/>
      <c r="C239" s="1091" t="s">
        <v>34</v>
      </c>
      <c r="D239" s="1432">
        <v>7</v>
      </c>
      <c r="E239" s="1135" t="s">
        <v>97</v>
      </c>
      <c r="F239" s="1232"/>
      <c r="G239" s="1232"/>
      <c r="H239" s="1254"/>
      <c r="I239" s="1243"/>
      <c r="J239" s="1243"/>
      <c r="K239" s="1243"/>
      <c r="L239" s="1243"/>
      <c r="M239" s="1232"/>
      <c r="N239" s="1238"/>
      <c r="O239" s="1242"/>
      <c r="P239" s="1254"/>
      <c r="Q239" s="1254"/>
      <c r="R239" s="1244"/>
      <c r="S239" s="1254"/>
      <c r="T239" s="1254"/>
      <c r="U239" s="1254"/>
      <c r="V239" s="1254"/>
      <c r="W239" s="1254"/>
      <c r="X239" s="1254"/>
      <c r="Y239" s="1238"/>
      <c r="Z239" s="1143"/>
      <c r="AA239" s="1143"/>
      <c r="AB239" s="1143"/>
      <c r="AC239" s="1143"/>
      <c r="AD239" s="1143"/>
      <c r="AE239" s="1143"/>
      <c r="AF239" s="1143"/>
      <c r="AG239" s="1143"/>
      <c r="AH239" s="1143"/>
      <c r="AI239" s="1143"/>
      <c r="AJ239" s="1143"/>
      <c r="AK239" s="1143"/>
      <c r="AL239" s="1143"/>
      <c r="AM239" s="1143"/>
      <c r="AN239" s="1143"/>
      <c r="AO239" s="1143"/>
      <c r="AP239" s="1143"/>
      <c r="AQ239" s="1143"/>
      <c r="AR239" s="1143"/>
      <c r="AS239" s="1143"/>
      <c r="AT239" s="1143"/>
      <c r="AU239" s="1143"/>
      <c r="AV239" s="1143"/>
      <c r="AW239" s="1143"/>
      <c r="AX239" s="1143"/>
      <c r="AY239" s="1143"/>
      <c r="AZ239" s="1143"/>
      <c r="BA239" s="1143"/>
    </row>
    <row r="240" spans="1:53" s="1142" customFormat="1" ht="24">
      <c r="B240" s="1134"/>
      <c r="C240" s="1091" t="s">
        <v>34</v>
      </c>
      <c r="D240" s="1432">
        <v>8</v>
      </c>
      <c r="E240" s="1112" t="s">
        <v>98</v>
      </c>
      <c r="F240" s="1232">
        <f t="shared" si="37"/>
        <v>375288</v>
      </c>
      <c r="G240" s="1232">
        <f t="shared" si="38"/>
        <v>0</v>
      </c>
      <c r="H240" s="1254">
        <v>0</v>
      </c>
      <c r="I240" s="1243"/>
      <c r="J240" s="1243"/>
      <c r="K240" s="1243"/>
      <c r="L240" s="1243"/>
      <c r="M240" s="1232">
        <f t="shared" si="39"/>
        <v>375288</v>
      </c>
      <c r="N240" s="1238">
        <v>36415</v>
      </c>
      <c r="O240" s="1242">
        <v>20000</v>
      </c>
      <c r="P240" s="1254">
        <v>26000</v>
      </c>
      <c r="Q240" s="1254">
        <v>45000</v>
      </c>
      <c r="R240" s="1254">
        <v>38500</v>
      </c>
      <c r="S240" s="1254">
        <v>19448</v>
      </c>
      <c r="T240" s="1254">
        <v>51000</v>
      </c>
      <c r="U240" s="1254">
        <v>29325</v>
      </c>
      <c r="V240" s="1254">
        <v>60000</v>
      </c>
      <c r="W240" s="1254">
        <v>20000</v>
      </c>
      <c r="X240" s="1254">
        <v>20000</v>
      </c>
      <c r="Y240" s="1238">
        <v>9600</v>
      </c>
      <c r="Z240" s="1143"/>
      <c r="AA240" s="1143"/>
      <c r="AB240" s="1143"/>
      <c r="AC240" s="1143"/>
      <c r="AD240" s="1143"/>
      <c r="AE240" s="1143"/>
      <c r="AF240" s="1143"/>
      <c r="AG240" s="1143"/>
      <c r="AH240" s="1143"/>
      <c r="AI240" s="1143"/>
      <c r="AJ240" s="1143"/>
      <c r="AK240" s="1143"/>
      <c r="AL240" s="1143"/>
      <c r="AM240" s="1143"/>
      <c r="AN240" s="1143"/>
      <c r="AO240" s="1143"/>
      <c r="AP240" s="1143"/>
      <c r="AQ240" s="1143"/>
      <c r="AR240" s="1143"/>
      <c r="AS240" s="1143"/>
      <c r="AT240" s="1143"/>
      <c r="AU240" s="1143"/>
      <c r="AV240" s="1143"/>
      <c r="AW240" s="1143"/>
      <c r="AX240" s="1143"/>
      <c r="AY240" s="1143"/>
      <c r="AZ240" s="1143"/>
      <c r="BA240" s="1143"/>
    </row>
    <row r="241" spans="2:54" s="1145" customFormat="1" ht="36">
      <c r="B241" s="1134"/>
      <c r="C241" s="1091" t="s">
        <v>34</v>
      </c>
      <c r="D241" s="1432">
        <v>9</v>
      </c>
      <c r="E241" s="1112" t="s">
        <v>204</v>
      </c>
      <c r="F241" s="1232">
        <f t="shared" si="37"/>
        <v>207500</v>
      </c>
      <c r="G241" s="1232">
        <f t="shared" si="38"/>
        <v>0</v>
      </c>
      <c r="H241" s="1254">
        <v>0</v>
      </c>
      <c r="I241" s="1243"/>
      <c r="J241" s="1243"/>
      <c r="K241" s="1243"/>
      <c r="L241" s="1243"/>
      <c r="M241" s="1232">
        <f t="shared" si="39"/>
        <v>207500</v>
      </c>
      <c r="N241" s="1240">
        <v>10000</v>
      </c>
      <c r="O241" s="1242">
        <v>50000</v>
      </c>
      <c r="P241" s="1254">
        <v>20000</v>
      </c>
      <c r="Q241" s="1254">
        <v>17000</v>
      </c>
      <c r="R241" s="1254">
        <v>10000</v>
      </c>
      <c r="S241" s="1254"/>
      <c r="T241" s="1254">
        <v>25000</v>
      </c>
      <c r="U241" s="1254">
        <v>5000</v>
      </c>
      <c r="V241" s="1242">
        <v>10000</v>
      </c>
      <c r="W241" s="1254">
        <v>20000</v>
      </c>
      <c r="X241" s="1254">
        <v>20000</v>
      </c>
      <c r="Y241" s="1238">
        <v>20500</v>
      </c>
      <c r="Z241" s="1144"/>
      <c r="AA241" s="1144"/>
      <c r="AB241" s="1144"/>
      <c r="AC241" s="1144"/>
      <c r="AD241" s="1144"/>
      <c r="AE241" s="1144"/>
      <c r="AF241" s="1144"/>
      <c r="AG241" s="1144"/>
      <c r="AH241" s="1144"/>
      <c r="AI241" s="1144"/>
      <c r="AJ241" s="1144"/>
      <c r="AK241" s="1144"/>
      <c r="AL241" s="1144"/>
      <c r="AM241" s="1144"/>
      <c r="AN241" s="1144"/>
      <c r="AO241" s="1144"/>
      <c r="AP241" s="1144"/>
      <c r="AQ241" s="1144"/>
      <c r="AR241" s="1144"/>
      <c r="AS241" s="1144"/>
      <c r="AT241" s="1144"/>
      <c r="AU241" s="1144"/>
      <c r="AV241" s="1144"/>
      <c r="AW241" s="1144"/>
      <c r="AX241" s="1144"/>
      <c r="AY241" s="1144"/>
      <c r="AZ241" s="1144"/>
      <c r="BA241" s="1144"/>
    </row>
    <row r="242" spans="2:54" s="1145" customFormat="1" ht="24">
      <c r="B242" s="1134"/>
      <c r="C242" s="1091" t="s">
        <v>34</v>
      </c>
      <c r="D242" s="1432">
        <v>10</v>
      </c>
      <c r="E242" s="1112" t="s">
        <v>214</v>
      </c>
      <c r="F242" s="1232"/>
      <c r="G242" s="1232"/>
      <c r="H242" s="1254"/>
      <c r="I242" s="1243"/>
      <c r="J242" s="1243"/>
      <c r="K242" s="1243"/>
      <c r="L242" s="1243"/>
      <c r="M242" s="1232"/>
      <c r="N242" s="1242"/>
      <c r="O242" s="1242"/>
      <c r="P242" s="1244"/>
      <c r="Q242" s="1254"/>
      <c r="R242" s="1244"/>
      <c r="S242" s="1254"/>
      <c r="T242" s="1254"/>
      <c r="U242" s="1242"/>
      <c r="V242" s="1242"/>
      <c r="W242" s="1254"/>
      <c r="X242" s="1254"/>
      <c r="Y242" s="1238"/>
      <c r="Z242" s="1144"/>
      <c r="AA242" s="1144"/>
      <c r="AB242" s="1144"/>
      <c r="AC242" s="1144"/>
      <c r="AD242" s="1144"/>
      <c r="AE242" s="1144"/>
      <c r="AF242" s="1144"/>
      <c r="AG242" s="1144"/>
      <c r="AH242" s="1144"/>
      <c r="AI242" s="1144"/>
      <c r="AJ242" s="1144"/>
      <c r="AK242" s="1144"/>
      <c r="AL242" s="1144"/>
      <c r="AM242" s="1144"/>
      <c r="AN242" s="1144"/>
      <c r="AO242" s="1144"/>
      <c r="AP242" s="1144"/>
      <c r="AQ242" s="1144"/>
      <c r="AR242" s="1144"/>
      <c r="AS242" s="1144"/>
      <c r="AT242" s="1144"/>
      <c r="AU242" s="1144"/>
      <c r="AV242" s="1144"/>
      <c r="AW242" s="1144"/>
      <c r="AX242" s="1144"/>
      <c r="AY242" s="1144"/>
      <c r="AZ242" s="1144"/>
      <c r="BA242" s="1144"/>
    </row>
    <row r="243" spans="2:54" s="1145" customFormat="1">
      <c r="B243" s="1134"/>
      <c r="C243" s="1091" t="s">
        <v>34</v>
      </c>
      <c r="D243" s="1432">
        <v>11</v>
      </c>
      <c r="E243" s="1087" t="s">
        <v>290</v>
      </c>
      <c r="F243" s="1232">
        <f t="shared" si="37"/>
        <v>13500</v>
      </c>
      <c r="G243" s="1232">
        <f t="shared" si="38"/>
        <v>0</v>
      </c>
      <c r="H243" s="1254">
        <v>0</v>
      </c>
      <c r="I243" s="1243"/>
      <c r="J243" s="1243"/>
      <c r="K243" s="1243"/>
      <c r="L243" s="1243"/>
      <c r="M243" s="1232">
        <f t="shared" si="39"/>
        <v>13500</v>
      </c>
      <c r="N243" s="1242"/>
      <c r="O243" s="1242"/>
      <c r="P243" s="1244"/>
      <c r="Q243" s="1254">
        <v>0</v>
      </c>
      <c r="R243" s="1244"/>
      <c r="S243" s="1254"/>
      <c r="T243" s="1254">
        <v>10000</v>
      </c>
      <c r="U243" s="1242"/>
      <c r="V243" s="1242"/>
      <c r="W243" s="1254"/>
      <c r="X243" s="1254">
        <v>3500</v>
      </c>
      <c r="Y243" s="1238">
        <v>0</v>
      </c>
      <c r="Z243" s="1144"/>
      <c r="AA243" s="1144"/>
      <c r="AB243" s="1144"/>
      <c r="AC243" s="1144"/>
      <c r="AD243" s="1144"/>
      <c r="AE243" s="1144"/>
      <c r="AF243" s="1144"/>
      <c r="AG243" s="1144"/>
      <c r="AH243" s="1144"/>
      <c r="AI243" s="1144"/>
      <c r="AJ243" s="1144"/>
      <c r="AK243" s="1144"/>
      <c r="AL243" s="1144"/>
      <c r="AM243" s="1144"/>
      <c r="AN243" s="1144"/>
      <c r="AO243" s="1144"/>
      <c r="AP243" s="1144"/>
      <c r="AQ243" s="1144"/>
      <c r="AR243" s="1144"/>
      <c r="AS243" s="1144"/>
      <c r="AT243" s="1144"/>
      <c r="AU243" s="1144"/>
      <c r="AV243" s="1144"/>
      <c r="AW243" s="1144"/>
      <c r="AX243" s="1144"/>
      <c r="AY243" s="1144"/>
      <c r="AZ243" s="1144"/>
      <c r="BA243" s="1144"/>
    </row>
    <row r="244" spans="2:54" s="1145" customFormat="1" ht="36">
      <c r="B244" s="1134"/>
      <c r="C244" s="1091" t="s">
        <v>34</v>
      </c>
      <c r="D244" s="1432">
        <v>12</v>
      </c>
      <c r="E244" s="1085" t="s">
        <v>456</v>
      </c>
      <c r="F244" s="1232">
        <f t="shared" si="37"/>
        <v>6720085</v>
      </c>
      <c r="G244" s="1232">
        <f t="shared" si="38"/>
        <v>394070</v>
      </c>
      <c r="H244" s="1254">
        <v>394070</v>
      </c>
      <c r="I244" s="1243"/>
      <c r="J244" s="1243"/>
      <c r="K244" s="1243"/>
      <c r="L244" s="1243"/>
      <c r="M244" s="1232">
        <f t="shared" si="39"/>
        <v>6326015</v>
      </c>
      <c r="N244" s="1242">
        <v>2006566</v>
      </c>
      <c r="O244" s="1242">
        <v>330210</v>
      </c>
      <c r="P244" s="1244">
        <v>567000</v>
      </c>
      <c r="Q244" s="1254">
        <v>932501</v>
      </c>
      <c r="R244" s="1244">
        <v>761493</v>
      </c>
      <c r="S244" s="1254">
        <v>513670</v>
      </c>
      <c r="T244" s="1254">
        <v>168000</v>
      </c>
      <c r="U244" s="1242"/>
      <c r="V244" s="1242">
        <v>472188</v>
      </c>
      <c r="W244" s="1254">
        <v>258650</v>
      </c>
      <c r="X244" s="1254">
        <v>291850</v>
      </c>
      <c r="Y244" s="1238">
        <v>23887</v>
      </c>
      <c r="Z244" s="1144"/>
      <c r="AA244" s="1144"/>
      <c r="AB244" s="1144"/>
      <c r="AC244" s="1144"/>
      <c r="AD244" s="1144"/>
      <c r="AE244" s="1144"/>
      <c r="AF244" s="1144"/>
      <c r="AG244" s="1144"/>
      <c r="AH244" s="1144"/>
      <c r="AI244" s="1144"/>
      <c r="AJ244" s="1144"/>
      <c r="AK244" s="1144"/>
      <c r="AL244" s="1144"/>
      <c r="AM244" s="1144"/>
      <c r="AN244" s="1144"/>
      <c r="AO244" s="1144"/>
      <c r="AP244" s="1144"/>
      <c r="AQ244" s="1144"/>
      <c r="AR244" s="1144"/>
      <c r="AS244" s="1144"/>
      <c r="AT244" s="1144"/>
      <c r="AU244" s="1144"/>
      <c r="AV244" s="1144"/>
      <c r="AW244" s="1144"/>
      <c r="AX244" s="1144"/>
      <c r="AY244" s="1144"/>
      <c r="AZ244" s="1144"/>
      <c r="BA244" s="1144"/>
    </row>
    <row r="245" spans="2:54" s="1145" customFormat="1">
      <c r="B245" s="1134"/>
      <c r="C245" s="1091" t="s">
        <v>34</v>
      </c>
      <c r="D245" s="1432">
        <v>13</v>
      </c>
      <c r="E245" s="1087" t="s">
        <v>611</v>
      </c>
      <c r="F245" s="1232">
        <f t="shared" si="37"/>
        <v>1017334</v>
      </c>
      <c r="G245" s="1232">
        <f t="shared" si="38"/>
        <v>0</v>
      </c>
      <c r="H245" s="1254">
        <v>0</v>
      </c>
      <c r="I245" s="1243"/>
      <c r="J245" s="1243"/>
      <c r="K245" s="1243"/>
      <c r="L245" s="1243"/>
      <c r="M245" s="1232">
        <f t="shared" si="39"/>
        <v>1017334</v>
      </c>
      <c r="N245" s="1242">
        <v>85027</v>
      </c>
      <c r="O245" s="1242">
        <v>50000</v>
      </c>
      <c r="P245" s="1244">
        <v>116995</v>
      </c>
      <c r="Q245" s="1254"/>
      <c r="R245" s="1244">
        <v>142133</v>
      </c>
      <c r="S245" s="1254">
        <v>56595</v>
      </c>
      <c r="T245" s="1254"/>
      <c r="U245" s="1242"/>
      <c r="V245" s="1242">
        <v>121888</v>
      </c>
      <c r="W245" s="1254">
        <v>72390</v>
      </c>
      <c r="X245" s="1254">
        <v>40650</v>
      </c>
      <c r="Y245" s="1238">
        <v>331656</v>
      </c>
      <c r="Z245" s="1144"/>
      <c r="AA245" s="1144"/>
      <c r="AB245" s="1144"/>
      <c r="AC245" s="1144"/>
      <c r="AD245" s="1144"/>
      <c r="AE245" s="1144"/>
      <c r="AF245" s="1144"/>
      <c r="AG245" s="1144"/>
      <c r="AH245" s="1144"/>
      <c r="AI245" s="1144"/>
      <c r="AJ245" s="1144"/>
      <c r="AK245" s="1144"/>
      <c r="AL245" s="1144"/>
      <c r="AM245" s="1144"/>
      <c r="AN245" s="1144"/>
      <c r="AO245" s="1144"/>
      <c r="AP245" s="1144"/>
      <c r="AQ245" s="1144"/>
      <c r="AR245" s="1144"/>
      <c r="AS245" s="1144"/>
      <c r="AT245" s="1144"/>
      <c r="AU245" s="1144"/>
      <c r="AV245" s="1144"/>
      <c r="AW245" s="1144"/>
      <c r="AX245" s="1144"/>
      <c r="AY245" s="1144"/>
      <c r="AZ245" s="1144"/>
      <c r="BA245" s="1144"/>
    </row>
    <row r="246" spans="2:54" s="1145" customFormat="1" ht="36">
      <c r="B246" s="1134"/>
      <c r="C246" s="1091" t="s">
        <v>34</v>
      </c>
      <c r="D246" s="1432">
        <v>14</v>
      </c>
      <c r="E246" s="1086" t="s">
        <v>458</v>
      </c>
      <c r="F246" s="1232">
        <f t="shared" si="37"/>
        <v>58200</v>
      </c>
      <c r="G246" s="1232">
        <f t="shared" si="38"/>
        <v>50000</v>
      </c>
      <c r="H246" s="1254">
        <v>50000</v>
      </c>
      <c r="I246" s="1243"/>
      <c r="J246" s="1243"/>
      <c r="K246" s="1243"/>
      <c r="L246" s="1243"/>
      <c r="M246" s="1232">
        <f t="shared" si="39"/>
        <v>8200</v>
      </c>
      <c r="N246" s="1242">
        <v>0</v>
      </c>
      <c r="O246" s="1242">
        <v>0</v>
      </c>
      <c r="P246" s="1244"/>
      <c r="Q246" s="1254">
        <v>0</v>
      </c>
      <c r="R246" s="1244"/>
      <c r="S246" s="1254"/>
      <c r="T246" s="1254">
        <v>5700</v>
      </c>
      <c r="U246" s="1242"/>
      <c r="V246" s="1242">
        <v>2500</v>
      </c>
      <c r="W246" s="1254"/>
      <c r="X246" s="1254"/>
      <c r="Y246" s="1238">
        <v>0</v>
      </c>
      <c r="Z246" s="1144"/>
      <c r="AA246" s="1144"/>
      <c r="AB246" s="1144"/>
      <c r="AC246" s="1144"/>
      <c r="AD246" s="1144"/>
      <c r="AE246" s="1144"/>
      <c r="AF246" s="1144"/>
      <c r="AG246" s="1144"/>
      <c r="AH246" s="1144"/>
      <c r="AI246" s="1144"/>
      <c r="AJ246" s="1144"/>
      <c r="AK246" s="1144"/>
      <c r="AL246" s="1144"/>
      <c r="AM246" s="1144"/>
      <c r="AN246" s="1144"/>
      <c r="AO246" s="1144"/>
      <c r="AP246" s="1144"/>
      <c r="AQ246" s="1144"/>
      <c r="AR246" s="1144"/>
      <c r="AS246" s="1144"/>
      <c r="AT246" s="1144"/>
      <c r="AU246" s="1144"/>
      <c r="AV246" s="1144"/>
      <c r="AW246" s="1144"/>
      <c r="AX246" s="1144"/>
      <c r="AY246" s="1144"/>
      <c r="AZ246" s="1144"/>
      <c r="BA246" s="1144"/>
    </row>
    <row r="247" spans="2:54" s="1145" customFormat="1" ht="24">
      <c r="B247" s="1134"/>
      <c r="C247" s="1091" t="s">
        <v>34</v>
      </c>
      <c r="D247" s="1432">
        <v>15</v>
      </c>
      <c r="E247" s="1087" t="s">
        <v>459</v>
      </c>
      <c r="F247" s="1232">
        <f t="shared" si="37"/>
        <v>22050</v>
      </c>
      <c r="G247" s="1232">
        <f t="shared" si="38"/>
        <v>0</v>
      </c>
      <c r="H247" s="1254">
        <v>0</v>
      </c>
      <c r="I247" s="1243"/>
      <c r="J247" s="1243"/>
      <c r="K247" s="1243"/>
      <c r="L247" s="1243"/>
      <c r="M247" s="1232">
        <f t="shared" si="39"/>
        <v>22050</v>
      </c>
      <c r="N247" s="1242">
        <v>15000</v>
      </c>
      <c r="O247" s="1242">
        <v>1000</v>
      </c>
      <c r="P247" s="1244"/>
      <c r="Q247" s="1254">
        <v>0</v>
      </c>
      <c r="R247" s="1244">
        <v>2000</v>
      </c>
      <c r="S247" s="1254"/>
      <c r="T247" s="1254">
        <v>2700</v>
      </c>
      <c r="U247" s="1242">
        <v>450</v>
      </c>
      <c r="V247" s="1242"/>
      <c r="W247" s="1254"/>
      <c r="X247" s="1254"/>
      <c r="Y247" s="1238">
        <v>900</v>
      </c>
      <c r="Z247" s="1144"/>
      <c r="AA247" s="1144"/>
      <c r="AB247" s="1144"/>
      <c r="AC247" s="1144"/>
      <c r="AD247" s="1144"/>
      <c r="AE247" s="1144"/>
      <c r="AF247" s="1144"/>
      <c r="AG247" s="1144"/>
      <c r="AH247" s="1144"/>
      <c r="AI247" s="1144"/>
      <c r="AJ247" s="1144"/>
      <c r="AK247" s="1144"/>
      <c r="AL247" s="1144"/>
      <c r="AM247" s="1144"/>
      <c r="AN247" s="1144"/>
      <c r="AO247" s="1144"/>
      <c r="AP247" s="1144"/>
      <c r="AQ247" s="1144"/>
      <c r="AR247" s="1144"/>
      <c r="AS247" s="1144"/>
      <c r="AT247" s="1144"/>
      <c r="AU247" s="1144"/>
      <c r="AV247" s="1144"/>
      <c r="AW247" s="1144"/>
      <c r="AX247" s="1144"/>
      <c r="AY247" s="1144"/>
      <c r="AZ247" s="1144"/>
      <c r="BA247" s="1144"/>
    </row>
    <row r="248" spans="2:54" s="1145" customFormat="1" ht="24">
      <c r="B248" s="1134"/>
      <c r="C248" s="1091" t="s">
        <v>34</v>
      </c>
      <c r="D248" s="1432">
        <v>16</v>
      </c>
      <c r="E248" s="1087" t="s">
        <v>460</v>
      </c>
      <c r="F248" s="1232">
        <f t="shared" si="37"/>
        <v>7100</v>
      </c>
      <c r="G248" s="1232">
        <f t="shared" si="38"/>
        <v>0</v>
      </c>
      <c r="H248" s="1254">
        <v>0</v>
      </c>
      <c r="I248" s="1243"/>
      <c r="J248" s="1243"/>
      <c r="K248" s="1243"/>
      <c r="L248" s="1243"/>
      <c r="M248" s="1232">
        <f t="shared" si="39"/>
        <v>7100</v>
      </c>
      <c r="N248" s="1242">
        <v>1200</v>
      </c>
      <c r="O248" s="1242">
        <v>1000</v>
      </c>
      <c r="P248" s="1244"/>
      <c r="Q248" s="1254">
        <v>0</v>
      </c>
      <c r="R248" s="1244">
        <v>1000</v>
      </c>
      <c r="S248" s="1254"/>
      <c r="T248" s="1254">
        <v>2700</v>
      </c>
      <c r="U248" s="1242">
        <v>400</v>
      </c>
      <c r="V248" s="1242"/>
      <c r="W248" s="1254"/>
      <c r="X248" s="1254"/>
      <c r="Y248" s="1238">
        <v>800</v>
      </c>
      <c r="Z248" s="1144"/>
      <c r="AA248" s="1144"/>
      <c r="AB248" s="1144"/>
      <c r="AC248" s="1144"/>
      <c r="AD248" s="1144"/>
      <c r="AE248" s="1144"/>
      <c r="AF248" s="1144"/>
      <c r="AG248" s="1144"/>
      <c r="AH248" s="1144"/>
      <c r="AI248" s="1144"/>
      <c r="AJ248" s="1144"/>
      <c r="AK248" s="1144"/>
      <c r="AL248" s="1144"/>
      <c r="AM248" s="1144"/>
      <c r="AN248" s="1144"/>
      <c r="AO248" s="1144"/>
      <c r="AP248" s="1144"/>
      <c r="AQ248" s="1144"/>
      <c r="AR248" s="1144"/>
      <c r="AS248" s="1144"/>
      <c r="AT248" s="1144"/>
      <c r="AU248" s="1144"/>
      <c r="AV248" s="1144"/>
      <c r="AW248" s="1144"/>
      <c r="AX248" s="1144"/>
      <c r="AY248" s="1144"/>
      <c r="AZ248" s="1144"/>
      <c r="BA248" s="1144"/>
    </row>
    <row r="249" spans="2:54" s="1145" customFormat="1" ht="48">
      <c r="B249" s="1134"/>
      <c r="C249" s="1091" t="s">
        <v>34</v>
      </c>
      <c r="D249" s="1432">
        <v>17</v>
      </c>
      <c r="E249" s="1087" t="s">
        <v>461</v>
      </c>
      <c r="F249" s="1232">
        <f t="shared" si="37"/>
        <v>493374</v>
      </c>
      <c r="G249" s="1232">
        <f t="shared" si="38"/>
        <v>46800</v>
      </c>
      <c r="H249" s="1254">
        <v>46800</v>
      </c>
      <c r="I249" s="1243"/>
      <c r="J249" s="1243"/>
      <c r="K249" s="1243"/>
      <c r="L249" s="1243"/>
      <c r="M249" s="1232">
        <f t="shared" si="39"/>
        <v>446574</v>
      </c>
      <c r="N249" s="1242">
        <v>80000</v>
      </c>
      <c r="O249" s="1242">
        <v>50000</v>
      </c>
      <c r="P249" s="1244">
        <v>18000</v>
      </c>
      <c r="Q249" s="1254">
        <v>50825</v>
      </c>
      <c r="R249" s="1244">
        <v>30000</v>
      </c>
      <c r="S249" s="1254">
        <v>15000</v>
      </c>
      <c r="T249" s="1254">
        <v>102800</v>
      </c>
      <c r="U249" s="1242"/>
      <c r="V249" s="1242">
        <v>35000</v>
      </c>
      <c r="W249" s="1254">
        <v>7000</v>
      </c>
      <c r="X249" s="1254">
        <v>35869</v>
      </c>
      <c r="Y249" s="1238">
        <v>22080</v>
      </c>
      <c r="Z249" s="1144"/>
      <c r="AA249" s="1144"/>
      <c r="AB249" s="1144"/>
      <c r="AC249" s="1144"/>
      <c r="AD249" s="1144"/>
      <c r="AE249" s="1144"/>
      <c r="AF249" s="1144"/>
      <c r="AG249" s="1144"/>
      <c r="AH249" s="1144"/>
      <c r="AI249" s="1144"/>
      <c r="AJ249" s="1144"/>
      <c r="AK249" s="1144"/>
      <c r="AL249" s="1144"/>
      <c r="AM249" s="1144"/>
      <c r="AN249" s="1144"/>
      <c r="AO249" s="1144"/>
      <c r="AP249" s="1144"/>
      <c r="AQ249" s="1144"/>
      <c r="AR249" s="1144"/>
      <c r="AS249" s="1144"/>
      <c r="AT249" s="1144"/>
      <c r="AU249" s="1144"/>
      <c r="AV249" s="1144"/>
      <c r="AW249" s="1144"/>
      <c r="AX249" s="1144"/>
      <c r="AY249" s="1144"/>
      <c r="AZ249" s="1144"/>
      <c r="BA249" s="1144"/>
    </row>
    <row r="250" spans="2:54" s="1145" customFormat="1" ht="48">
      <c r="B250" s="1134"/>
      <c r="C250" s="1091" t="s">
        <v>34</v>
      </c>
      <c r="D250" s="1432">
        <v>18</v>
      </c>
      <c r="E250" s="1086" t="s">
        <v>462</v>
      </c>
      <c r="F250" s="1232">
        <f t="shared" si="37"/>
        <v>474992</v>
      </c>
      <c r="G250" s="1232">
        <f t="shared" si="38"/>
        <v>293000</v>
      </c>
      <c r="H250" s="1254">
        <v>293000</v>
      </c>
      <c r="I250" s="1243"/>
      <c r="J250" s="1243"/>
      <c r="K250" s="1243"/>
      <c r="L250" s="1243"/>
      <c r="M250" s="1232">
        <f t="shared" si="39"/>
        <v>181992</v>
      </c>
      <c r="N250" s="1242">
        <v>4080</v>
      </c>
      <c r="O250" s="1242">
        <v>30000</v>
      </c>
      <c r="P250" s="1244"/>
      <c r="Q250" s="1254">
        <v>7200</v>
      </c>
      <c r="R250" s="1244">
        <v>7680</v>
      </c>
      <c r="S250" s="1254">
        <v>35200</v>
      </c>
      <c r="T250" s="1254">
        <v>25000</v>
      </c>
      <c r="U250" s="1242"/>
      <c r="V250" s="1242">
        <v>53832</v>
      </c>
      <c r="W250" s="1254">
        <v>14400</v>
      </c>
      <c r="X250" s="1254"/>
      <c r="Y250" s="1238">
        <v>4600</v>
      </c>
      <c r="Z250" s="1144"/>
      <c r="AA250" s="1144"/>
      <c r="AB250" s="1144"/>
      <c r="AC250" s="1144"/>
      <c r="AD250" s="1144"/>
      <c r="AE250" s="1144"/>
      <c r="AF250" s="1144"/>
      <c r="AG250" s="1144"/>
      <c r="AH250" s="1144"/>
      <c r="AI250" s="1144"/>
      <c r="AJ250" s="1144"/>
      <c r="AK250" s="1144"/>
      <c r="AL250" s="1144"/>
      <c r="AM250" s="1144"/>
      <c r="AN250" s="1144"/>
      <c r="AO250" s="1144"/>
      <c r="AP250" s="1144"/>
      <c r="AQ250" s="1144"/>
      <c r="AR250" s="1144"/>
      <c r="AS250" s="1144"/>
      <c r="AT250" s="1144"/>
      <c r="AU250" s="1144"/>
      <c r="AV250" s="1144"/>
      <c r="AW250" s="1144"/>
      <c r="AX250" s="1144"/>
      <c r="AY250" s="1144"/>
      <c r="AZ250" s="1144"/>
      <c r="BA250" s="1144"/>
    </row>
    <row r="251" spans="2:54" s="1145" customFormat="1" ht="36">
      <c r="B251" s="1134"/>
      <c r="C251" s="1091" t="s">
        <v>34</v>
      </c>
      <c r="D251" s="1432">
        <v>19</v>
      </c>
      <c r="E251" s="1087" t="s">
        <v>463</v>
      </c>
      <c r="F251" s="1232">
        <f t="shared" si="37"/>
        <v>197300</v>
      </c>
      <c r="G251" s="1232">
        <f t="shared" si="38"/>
        <v>95000</v>
      </c>
      <c r="H251" s="1254">
        <v>95000</v>
      </c>
      <c r="I251" s="1243"/>
      <c r="J251" s="1243"/>
      <c r="K251" s="1243"/>
      <c r="L251" s="1243"/>
      <c r="M251" s="1232">
        <f t="shared" si="39"/>
        <v>102300</v>
      </c>
      <c r="N251" s="1242">
        <v>10000</v>
      </c>
      <c r="O251" s="1242">
        <v>20000</v>
      </c>
      <c r="P251" s="1244"/>
      <c r="Q251" s="1254">
        <v>0</v>
      </c>
      <c r="R251" s="1244">
        <v>21000</v>
      </c>
      <c r="S251" s="1254"/>
      <c r="T251" s="1254">
        <v>35000</v>
      </c>
      <c r="U251" s="1242"/>
      <c r="V251" s="1242">
        <v>10000</v>
      </c>
      <c r="W251" s="1254"/>
      <c r="X251" s="1254"/>
      <c r="Y251" s="1238">
        <v>6300</v>
      </c>
      <c r="Z251" s="1144"/>
      <c r="AA251" s="1144"/>
      <c r="AB251" s="1144"/>
      <c r="AC251" s="1144"/>
      <c r="AD251" s="1144"/>
      <c r="AE251" s="1144"/>
      <c r="AF251" s="1144"/>
      <c r="AG251" s="1144"/>
      <c r="AH251" s="1144"/>
      <c r="AI251" s="1144"/>
      <c r="AJ251" s="1144"/>
      <c r="AK251" s="1144"/>
      <c r="AL251" s="1144"/>
      <c r="AM251" s="1144"/>
      <c r="AN251" s="1144"/>
      <c r="AO251" s="1144"/>
      <c r="AP251" s="1144"/>
      <c r="AQ251" s="1144"/>
      <c r="AR251" s="1144"/>
      <c r="AS251" s="1144"/>
      <c r="AT251" s="1144"/>
      <c r="AU251" s="1144"/>
      <c r="AV251" s="1144"/>
      <c r="AW251" s="1144"/>
      <c r="AX251" s="1144"/>
      <c r="AY251" s="1144"/>
      <c r="AZ251" s="1144"/>
      <c r="BA251" s="1144"/>
    </row>
    <row r="252" spans="2:54" s="1145" customFormat="1" ht="36">
      <c r="B252" s="1134"/>
      <c r="C252" s="1091" t="s">
        <v>34</v>
      </c>
      <c r="D252" s="1432">
        <v>20</v>
      </c>
      <c r="E252" s="1087" t="s">
        <v>464</v>
      </c>
      <c r="F252" s="1232">
        <f t="shared" si="37"/>
        <v>690083</v>
      </c>
      <c r="G252" s="1232">
        <f t="shared" si="38"/>
        <v>211200</v>
      </c>
      <c r="H252" s="1254">
        <v>211200</v>
      </c>
      <c r="I252" s="1243"/>
      <c r="J252" s="1243"/>
      <c r="K252" s="1243"/>
      <c r="L252" s="1243"/>
      <c r="M252" s="1232">
        <f t="shared" si="39"/>
        <v>478883</v>
      </c>
      <c r="N252" s="1242">
        <v>50000</v>
      </c>
      <c r="O252" s="1242">
        <v>50000</v>
      </c>
      <c r="P252" s="1244"/>
      <c r="Q252" s="1254">
        <v>0</v>
      </c>
      <c r="R252" s="1244">
        <v>30000</v>
      </c>
      <c r="S252" s="1254">
        <v>6000</v>
      </c>
      <c r="T252" s="1254">
        <v>216000</v>
      </c>
      <c r="U252" s="1242"/>
      <c r="V252" s="1242">
        <v>6883</v>
      </c>
      <c r="W252" s="1254">
        <v>100000</v>
      </c>
      <c r="X252" s="1254"/>
      <c r="Y252" s="1238">
        <v>20000</v>
      </c>
      <c r="Z252" s="1144"/>
      <c r="AA252" s="1144"/>
      <c r="AB252" s="1144"/>
      <c r="AC252" s="1144"/>
      <c r="AD252" s="1144"/>
      <c r="AE252" s="1144"/>
      <c r="AF252" s="1144"/>
      <c r="AG252" s="1144"/>
      <c r="AH252" s="1144"/>
      <c r="AI252" s="1144"/>
      <c r="AJ252" s="1144"/>
      <c r="AK252" s="1144"/>
      <c r="AL252" s="1144"/>
      <c r="AM252" s="1144"/>
      <c r="AN252" s="1144"/>
      <c r="AO252" s="1144"/>
      <c r="AP252" s="1144"/>
      <c r="AQ252" s="1144"/>
      <c r="AR252" s="1144"/>
      <c r="AS252" s="1144"/>
      <c r="AT252" s="1144"/>
      <c r="AU252" s="1144"/>
      <c r="AV252" s="1144"/>
      <c r="AW252" s="1144"/>
      <c r="AX252" s="1144"/>
      <c r="AY252" s="1144"/>
      <c r="AZ252" s="1144"/>
      <c r="BA252" s="1144"/>
    </row>
    <row r="253" spans="2:54" s="1145" customFormat="1" ht="48">
      <c r="B253" s="1134"/>
      <c r="C253" s="1091" t="s">
        <v>34</v>
      </c>
      <c r="D253" s="1432">
        <v>21</v>
      </c>
      <c r="E253" s="1086" t="s">
        <v>688</v>
      </c>
      <c r="F253" s="1232"/>
      <c r="G253" s="1232"/>
      <c r="H253" s="1254"/>
      <c r="I253" s="1243"/>
      <c r="J253" s="1243"/>
      <c r="K253" s="1243"/>
      <c r="L253" s="1243"/>
      <c r="M253" s="1232"/>
      <c r="N253" s="1242"/>
      <c r="O253" s="1242"/>
      <c r="P253" s="1244"/>
      <c r="Q253" s="1254"/>
      <c r="R253" s="1244"/>
      <c r="S253" s="1254"/>
      <c r="T253" s="1254"/>
      <c r="U253" s="1242"/>
      <c r="V253" s="1242"/>
      <c r="W253" s="1254"/>
      <c r="X253" s="1254"/>
      <c r="Y253" s="1238"/>
      <c r="Z253" s="1144"/>
      <c r="AA253" s="1144"/>
      <c r="AB253" s="1144"/>
      <c r="AC253" s="1144"/>
      <c r="AD253" s="1144"/>
      <c r="AE253" s="1144"/>
      <c r="AF253" s="1144"/>
      <c r="AG253" s="1144"/>
      <c r="AH253" s="1144"/>
      <c r="AI253" s="1144"/>
      <c r="AJ253" s="1144"/>
      <c r="AK253" s="1144"/>
      <c r="AL253" s="1144"/>
      <c r="AM253" s="1144"/>
      <c r="AN253" s="1144"/>
      <c r="AO253" s="1144"/>
      <c r="AP253" s="1144"/>
      <c r="AQ253" s="1144"/>
      <c r="AR253" s="1144"/>
      <c r="AS253" s="1144"/>
      <c r="AT253" s="1144"/>
      <c r="AU253" s="1144"/>
      <c r="AV253" s="1144"/>
      <c r="AW253" s="1144"/>
      <c r="AX253" s="1144"/>
      <c r="AY253" s="1144"/>
      <c r="AZ253" s="1144"/>
      <c r="BA253" s="1144"/>
    </row>
    <row r="254" spans="2:54" s="1145" customFormat="1">
      <c r="B254" s="1134"/>
      <c r="C254" s="1091" t="s">
        <v>34</v>
      </c>
      <c r="D254" s="1432">
        <v>22</v>
      </c>
      <c r="E254" s="1086" t="s">
        <v>689</v>
      </c>
      <c r="F254" s="1232"/>
      <c r="G254" s="1232"/>
      <c r="H254" s="1254"/>
      <c r="I254" s="1243"/>
      <c r="J254" s="1243"/>
      <c r="K254" s="1243"/>
      <c r="L254" s="1243"/>
      <c r="M254" s="1232"/>
      <c r="N254" s="1242"/>
      <c r="O254" s="1242"/>
      <c r="P254" s="1244"/>
      <c r="Q254" s="1254"/>
      <c r="R254" s="1244"/>
      <c r="S254" s="1254"/>
      <c r="T254" s="1254"/>
      <c r="U254" s="1242"/>
      <c r="V254" s="1242"/>
      <c r="W254" s="1254"/>
      <c r="X254" s="1254"/>
      <c r="Y254" s="1238"/>
      <c r="Z254" s="1144"/>
      <c r="AA254" s="1144"/>
      <c r="AB254" s="1144"/>
      <c r="AC254" s="1144"/>
      <c r="AD254" s="1144"/>
      <c r="AE254" s="1144"/>
      <c r="AF254" s="1144"/>
      <c r="AG254" s="1144"/>
      <c r="AH254" s="1144"/>
      <c r="AI254" s="1144"/>
      <c r="AJ254" s="1144"/>
      <c r="AK254" s="1144"/>
      <c r="AL254" s="1144"/>
      <c r="AM254" s="1144"/>
      <c r="AN254" s="1144"/>
      <c r="AO254" s="1144"/>
      <c r="AP254" s="1144"/>
      <c r="AQ254" s="1144"/>
      <c r="AR254" s="1144"/>
      <c r="AS254" s="1144"/>
      <c r="AT254" s="1144"/>
      <c r="AU254" s="1144"/>
      <c r="AV254" s="1144"/>
      <c r="AW254" s="1144"/>
      <c r="AX254" s="1144"/>
      <c r="AY254" s="1144"/>
      <c r="AZ254" s="1144"/>
      <c r="BA254" s="1144"/>
    </row>
    <row r="255" spans="2:54" s="1145" customFormat="1" ht="36">
      <c r="B255" s="1134"/>
      <c r="C255" s="1091" t="s">
        <v>34</v>
      </c>
      <c r="D255" s="1432">
        <v>23</v>
      </c>
      <c r="E255" s="1086" t="s">
        <v>690</v>
      </c>
      <c r="F255" s="1232"/>
      <c r="G255" s="1232"/>
      <c r="H255" s="1254"/>
      <c r="I255" s="1243"/>
      <c r="J255" s="1243"/>
      <c r="K255" s="1243"/>
      <c r="L255" s="1243"/>
      <c r="M255" s="1232"/>
      <c r="N255" s="1242"/>
      <c r="O255" s="1242"/>
      <c r="P255" s="1244"/>
      <c r="Q255" s="1254"/>
      <c r="R255" s="1244"/>
      <c r="S255" s="1254"/>
      <c r="T255" s="1254"/>
      <c r="U255" s="1242"/>
      <c r="V255" s="1242"/>
      <c r="W255" s="1254"/>
      <c r="X255" s="1254"/>
      <c r="Y255" s="1238"/>
      <c r="Z255" s="1144"/>
      <c r="AA255" s="1144"/>
      <c r="AB255" s="1144"/>
      <c r="AC255" s="1144"/>
      <c r="AD255" s="1144"/>
      <c r="AE255" s="1144"/>
      <c r="AF255" s="1144"/>
      <c r="AG255" s="1144"/>
      <c r="AH255" s="1144"/>
      <c r="AI255" s="1144"/>
      <c r="AJ255" s="1144"/>
      <c r="AK255" s="1144"/>
      <c r="AL255" s="1144"/>
      <c r="AM255" s="1144"/>
      <c r="AN255" s="1144"/>
      <c r="AO255" s="1144"/>
      <c r="AP255" s="1144"/>
      <c r="AQ255" s="1144"/>
      <c r="AR255" s="1144"/>
      <c r="AS255" s="1144"/>
      <c r="AT255" s="1144"/>
      <c r="AU255" s="1144"/>
      <c r="AV255" s="1144"/>
      <c r="AW255" s="1144"/>
      <c r="AX255" s="1144"/>
      <c r="AY255" s="1144"/>
      <c r="AZ255" s="1144"/>
      <c r="BA255" s="1144"/>
    </row>
    <row r="256" spans="2:54" s="1146" customFormat="1" ht="72">
      <c r="B256" s="1134"/>
      <c r="C256" s="1091" t="s">
        <v>34</v>
      </c>
      <c r="D256" s="1432">
        <v>24</v>
      </c>
      <c r="E256" s="1086" t="s">
        <v>691</v>
      </c>
      <c r="F256" s="1232"/>
      <c r="G256" s="1232"/>
      <c r="H256" s="1254"/>
      <c r="I256" s="1243"/>
      <c r="J256" s="1243"/>
      <c r="K256" s="1243"/>
      <c r="L256" s="1243"/>
      <c r="M256" s="1232"/>
      <c r="N256" s="1242"/>
      <c r="O256" s="1242"/>
      <c r="P256" s="1244"/>
      <c r="Q256" s="1254"/>
      <c r="R256" s="1244"/>
      <c r="S256" s="1254"/>
      <c r="T256" s="1254"/>
      <c r="U256" s="1242"/>
      <c r="V256" s="1242"/>
      <c r="W256" s="1254"/>
      <c r="X256" s="1254"/>
      <c r="Y256" s="1238"/>
      <c r="Z256" s="1144"/>
      <c r="AA256" s="1144"/>
      <c r="AB256" s="1144"/>
      <c r="AC256" s="1144"/>
      <c r="AD256" s="1144"/>
      <c r="AE256" s="1144"/>
      <c r="AF256" s="1144"/>
      <c r="AG256" s="1144"/>
      <c r="AH256" s="1144"/>
      <c r="AI256" s="1144"/>
      <c r="AJ256" s="1144"/>
      <c r="AK256" s="1144"/>
      <c r="AL256" s="1144"/>
      <c r="AM256" s="1144"/>
      <c r="AN256" s="1144"/>
      <c r="AO256" s="1144"/>
      <c r="AP256" s="1144"/>
      <c r="AQ256" s="1144"/>
      <c r="AR256" s="1144"/>
      <c r="AS256" s="1144"/>
      <c r="AT256" s="1144"/>
      <c r="AU256" s="1144"/>
      <c r="AV256" s="1144"/>
      <c r="AW256" s="1144"/>
      <c r="AX256" s="1144"/>
      <c r="AY256" s="1144"/>
      <c r="AZ256" s="1144"/>
      <c r="BA256" s="1144"/>
      <c r="BB256" s="1147"/>
    </row>
    <row r="257" spans="1:54" s="1146" customFormat="1" ht="24">
      <c r="B257" s="1134"/>
      <c r="C257" s="1091" t="s">
        <v>34</v>
      </c>
      <c r="D257" s="1432">
        <v>25</v>
      </c>
      <c r="E257" s="1087" t="s">
        <v>468</v>
      </c>
      <c r="F257" s="1232">
        <f t="shared" si="37"/>
        <v>353020</v>
      </c>
      <c r="G257" s="1232">
        <f t="shared" si="38"/>
        <v>0</v>
      </c>
      <c r="H257" s="1254">
        <v>0</v>
      </c>
      <c r="I257" s="1243"/>
      <c r="J257" s="1243"/>
      <c r="K257" s="1243"/>
      <c r="L257" s="1243"/>
      <c r="M257" s="1232">
        <f t="shared" si="39"/>
        <v>353020</v>
      </c>
      <c r="N257" s="1242">
        <v>41000</v>
      </c>
      <c r="O257" s="1254">
        <v>13000</v>
      </c>
      <c r="P257" s="1244">
        <v>29000</v>
      </c>
      <c r="Q257" s="1254">
        <v>48520</v>
      </c>
      <c r="R257" s="1244">
        <v>44500</v>
      </c>
      <c r="S257" s="1254">
        <v>22000</v>
      </c>
      <c r="T257" s="1244">
        <v>47000</v>
      </c>
      <c r="U257" s="1242">
        <v>40000</v>
      </c>
      <c r="V257" s="1242">
        <v>36000</v>
      </c>
      <c r="W257" s="1254">
        <v>0</v>
      </c>
      <c r="X257" s="1254">
        <v>16000</v>
      </c>
      <c r="Y257" s="1254">
        <v>16000</v>
      </c>
      <c r="Z257" s="1144"/>
      <c r="AA257" s="1144"/>
      <c r="AB257" s="1144"/>
      <c r="AC257" s="1144"/>
      <c r="AD257" s="1144"/>
      <c r="AE257" s="1144"/>
      <c r="AF257" s="1144"/>
      <c r="AG257" s="1144"/>
      <c r="AH257" s="1144"/>
      <c r="AI257" s="1144"/>
      <c r="AJ257" s="1144"/>
      <c r="AK257" s="1144"/>
      <c r="AL257" s="1144"/>
      <c r="AM257" s="1144"/>
      <c r="AN257" s="1144"/>
      <c r="AO257" s="1144"/>
      <c r="AP257" s="1144"/>
      <c r="AQ257" s="1144"/>
      <c r="AR257" s="1144"/>
      <c r="AS257" s="1144"/>
      <c r="AT257" s="1144"/>
      <c r="AU257" s="1144"/>
      <c r="AV257" s="1144"/>
      <c r="AW257" s="1144"/>
      <c r="AX257" s="1144"/>
      <c r="AY257" s="1144"/>
      <c r="AZ257" s="1144"/>
      <c r="BA257" s="1144"/>
      <c r="BB257" s="1147"/>
    </row>
    <row r="258" spans="1:54" s="1146" customFormat="1">
      <c r="B258" s="1134"/>
      <c r="C258" s="1091" t="s">
        <v>34</v>
      </c>
      <c r="D258" s="1432">
        <v>26</v>
      </c>
      <c r="E258" s="1087" t="s">
        <v>469</v>
      </c>
      <c r="F258" s="1232"/>
      <c r="G258" s="1232"/>
      <c r="H258" s="1254"/>
      <c r="I258" s="1243"/>
      <c r="J258" s="1243"/>
      <c r="K258" s="1243"/>
      <c r="L258" s="1243"/>
      <c r="M258" s="1232"/>
      <c r="N258" s="1242"/>
      <c r="O258" s="1254"/>
      <c r="P258" s="1244"/>
      <c r="Q258" s="1254"/>
      <c r="R258" s="1244"/>
      <c r="S258" s="1254"/>
      <c r="T258" s="1244"/>
      <c r="U258" s="1242"/>
      <c r="V258" s="1242"/>
      <c r="W258" s="1254"/>
      <c r="X258" s="1254"/>
      <c r="Y258" s="1238"/>
      <c r="Z258" s="1144"/>
      <c r="AA258" s="1144"/>
      <c r="AB258" s="1144"/>
      <c r="AC258" s="1144"/>
      <c r="AD258" s="1144"/>
      <c r="AE258" s="1144"/>
      <c r="AF258" s="1144"/>
      <c r="AG258" s="1144"/>
      <c r="AH258" s="1144"/>
      <c r="AI258" s="1144"/>
      <c r="AJ258" s="1144"/>
      <c r="AK258" s="1144"/>
      <c r="AL258" s="1144"/>
      <c r="AM258" s="1144"/>
      <c r="AN258" s="1144"/>
      <c r="AO258" s="1144"/>
      <c r="AP258" s="1144"/>
      <c r="AQ258" s="1144"/>
      <c r="AR258" s="1144"/>
      <c r="AS258" s="1144"/>
      <c r="AT258" s="1144"/>
      <c r="AU258" s="1144"/>
      <c r="AV258" s="1144"/>
      <c r="AW258" s="1144"/>
      <c r="AX258" s="1144"/>
      <c r="AY258" s="1144"/>
      <c r="AZ258" s="1144"/>
      <c r="BA258" s="1144"/>
      <c r="BB258" s="1147"/>
    </row>
    <row r="259" spans="1:54" s="1146" customFormat="1" ht="48">
      <c r="B259" s="1134"/>
      <c r="C259" s="1091" t="s">
        <v>34</v>
      </c>
      <c r="D259" s="1432">
        <v>27</v>
      </c>
      <c r="E259" s="1086" t="s">
        <v>692</v>
      </c>
      <c r="F259" s="1232"/>
      <c r="G259" s="1232"/>
      <c r="H259" s="1254"/>
      <c r="I259" s="1243"/>
      <c r="J259" s="1243"/>
      <c r="K259" s="1243"/>
      <c r="L259" s="1243"/>
      <c r="M259" s="1232"/>
      <c r="N259" s="1242"/>
      <c r="O259" s="1254"/>
      <c r="P259" s="1244"/>
      <c r="Q259" s="1254"/>
      <c r="R259" s="1244"/>
      <c r="S259" s="1254"/>
      <c r="T259" s="1244"/>
      <c r="U259" s="1242"/>
      <c r="V259" s="1242"/>
      <c r="W259" s="1254"/>
      <c r="X259" s="1254"/>
      <c r="Y259" s="1238"/>
      <c r="Z259" s="1144"/>
      <c r="AA259" s="1144"/>
      <c r="AB259" s="1144"/>
      <c r="AC259" s="1144"/>
      <c r="AD259" s="1144"/>
      <c r="AE259" s="1144"/>
      <c r="AF259" s="1144"/>
      <c r="AG259" s="1144"/>
      <c r="AH259" s="1144"/>
      <c r="AI259" s="1144"/>
      <c r="AJ259" s="1144"/>
      <c r="AK259" s="1144"/>
      <c r="AL259" s="1144"/>
      <c r="AM259" s="1144"/>
      <c r="AN259" s="1144"/>
      <c r="AO259" s="1144"/>
      <c r="AP259" s="1144"/>
      <c r="AQ259" s="1144"/>
      <c r="AR259" s="1144"/>
      <c r="AS259" s="1144"/>
      <c r="AT259" s="1144"/>
      <c r="AU259" s="1144"/>
      <c r="AV259" s="1144"/>
      <c r="AW259" s="1144"/>
      <c r="AX259" s="1144"/>
      <c r="AY259" s="1144"/>
      <c r="AZ259" s="1144"/>
      <c r="BA259" s="1144"/>
      <c r="BB259" s="1147"/>
    </row>
    <row r="260" spans="1:54" s="1146" customFormat="1" ht="36">
      <c r="B260" s="1134"/>
      <c r="C260" s="1091" t="s">
        <v>34</v>
      </c>
      <c r="D260" s="1432">
        <v>28</v>
      </c>
      <c r="E260" s="1086" t="s">
        <v>693</v>
      </c>
      <c r="F260" s="1232"/>
      <c r="G260" s="1232"/>
      <c r="H260" s="1254"/>
      <c r="I260" s="1243"/>
      <c r="J260" s="1243"/>
      <c r="K260" s="1243"/>
      <c r="L260" s="1243"/>
      <c r="M260" s="1232"/>
      <c r="N260" s="1242"/>
      <c r="O260" s="1254"/>
      <c r="P260" s="1244"/>
      <c r="Q260" s="1254"/>
      <c r="R260" s="1244"/>
      <c r="S260" s="1254"/>
      <c r="T260" s="1244"/>
      <c r="U260" s="1242"/>
      <c r="V260" s="1242"/>
      <c r="W260" s="1254"/>
      <c r="X260" s="1254"/>
      <c r="Y260" s="1238"/>
      <c r="Z260" s="1144"/>
      <c r="AA260" s="1144"/>
      <c r="AB260" s="1144"/>
      <c r="AC260" s="1144"/>
      <c r="AD260" s="1144"/>
      <c r="AE260" s="1144"/>
      <c r="AF260" s="1144"/>
      <c r="AG260" s="1144"/>
      <c r="AH260" s="1144"/>
      <c r="AI260" s="1144"/>
      <c r="AJ260" s="1144"/>
      <c r="AK260" s="1144"/>
      <c r="AL260" s="1144"/>
      <c r="AM260" s="1144"/>
      <c r="AN260" s="1144"/>
      <c r="AO260" s="1144"/>
      <c r="AP260" s="1144"/>
      <c r="AQ260" s="1144"/>
      <c r="AR260" s="1144"/>
      <c r="AS260" s="1144"/>
      <c r="AT260" s="1144"/>
      <c r="AU260" s="1144"/>
      <c r="AV260" s="1144"/>
      <c r="AW260" s="1144"/>
      <c r="AX260" s="1144"/>
      <c r="AY260" s="1144"/>
      <c r="AZ260" s="1144"/>
      <c r="BA260" s="1144"/>
      <c r="BB260" s="1147"/>
    </row>
    <row r="261" spans="1:54" s="1146" customFormat="1">
      <c r="B261" s="1134"/>
      <c r="C261" s="1091" t="s">
        <v>34</v>
      </c>
      <c r="D261" s="1432">
        <v>29</v>
      </c>
      <c r="E261" s="1086" t="s">
        <v>694</v>
      </c>
      <c r="F261" s="1232"/>
      <c r="G261" s="1232"/>
      <c r="H261" s="1254"/>
      <c r="I261" s="1243"/>
      <c r="J261" s="1243"/>
      <c r="K261" s="1243"/>
      <c r="L261" s="1243"/>
      <c r="M261" s="1232"/>
      <c r="N261" s="1242"/>
      <c r="O261" s="1254"/>
      <c r="P261" s="1244"/>
      <c r="Q261" s="1254"/>
      <c r="R261" s="1244"/>
      <c r="S261" s="1254"/>
      <c r="T261" s="1244"/>
      <c r="U261" s="1242"/>
      <c r="V261" s="1242"/>
      <c r="W261" s="1254"/>
      <c r="X261" s="1254"/>
      <c r="Y261" s="1238"/>
      <c r="Z261" s="1144"/>
      <c r="AA261" s="1144"/>
      <c r="AB261" s="1144"/>
      <c r="AC261" s="1144"/>
      <c r="AD261" s="1144"/>
      <c r="AE261" s="1144"/>
      <c r="AF261" s="1144"/>
      <c r="AG261" s="1144"/>
      <c r="AH261" s="1144"/>
      <c r="AI261" s="1144"/>
      <c r="AJ261" s="1144"/>
      <c r="AK261" s="1144"/>
      <c r="AL261" s="1144"/>
      <c r="AM261" s="1144"/>
      <c r="AN261" s="1144"/>
      <c r="AO261" s="1144"/>
      <c r="AP261" s="1144"/>
      <c r="AQ261" s="1144"/>
      <c r="AR261" s="1144"/>
      <c r="AS261" s="1144"/>
      <c r="AT261" s="1144"/>
      <c r="AU261" s="1144"/>
      <c r="AV261" s="1144"/>
      <c r="AW261" s="1144"/>
      <c r="AX261" s="1144"/>
      <c r="AY261" s="1144"/>
      <c r="AZ261" s="1144"/>
      <c r="BA261" s="1144"/>
      <c r="BB261" s="1147"/>
    </row>
    <row r="262" spans="1:54" s="1146" customFormat="1" ht="36">
      <c r="B262" s="1134"/>
      <c r="C262" s="1091" t="s">
        <v>34</v>
      </c>
      <c r="D262" s="1432">
        <v>30</v>
      </c>
      <c r="E262" s="1087" t="s">
        <v>473</v>
      </c>
      <c r="F262" s="1232">
        <f t="shared" si="37"/>
        <v>19200</v>
      </c>
      <c r="G262" s="1232">
        <f t="shared" si="38"/>
        <v>0</v>
      </c>
      <c r="H262" s="1254">
        <v>0</v>
      </c>
      <c r="I262" s="1243"/>
      <c r="J262" s="1243"/>
      <c r="K262" s="1243"/>
      <c r="L262" s="1243"/>
      <c r="M262" s="1232">
        <f t="shared" si="39"/>
        <v>19200</v>
      </c>
      <c r="N262" s="1242"/>
      <c r="O262" s="1254"/>
      <c r="P262" s="1244"/>
      <c r="Q262" s="1254"/>
      <c r="R262" s="1244"/>
      <c r="S262" s="1254">
        <v>19200</v>
      </c>
      <c r="T262" s="1244"/>
      <c r="U262" s="1242"/>
      <c r="V262" s="1242"/>
      <c r="W262" s="1254"/>
      <c r="X262" s="1254"/>
      <c r="Y262" s="1238"/>
      <c r="Z262" s="1144"/>
      <c r="AA262" s="1144"/>
      <c r="AB262" s="1144"/>
      <c r="AC262" s="1144"/>
      <c r="AD262" s="1144"/>
      <c r="AE262" s="1144"/>
      <c r="AF262" s="1144"/>
      <c r="AG262" s="1144"/>
      <c r="AH262" s="1144"/>
      <c r="AI262" s="1144"/>
      <c r="AJ262" s="1144"/>
      <c r="AK262" s="1144"/>
      <c r="AL262" s="1144"/>
      <c r="AM262" s="1144"/>
      <c r="AN262" s="1144"/>
      <c r="AO262" s="1144"/>
      <c r="AP262" s="1144"/>
      <c r="AQ262" s="1144"/>
      <c r="AR262" s="1144"/>
      <c r="AS262" s="1144"/>
      <c r="AT262" s="1144"/>
      <c r="AU262" s="1144"/>
      <c r="AV262" s="1144"/>
      <c r="AW262" s="1144"/>
      <c r="AX262" s="1144"/>
      <c r="AY262" s="1144"/>
      <c r="AZ262" s="1144"/>
      <c r="BA262" s="1144"/>
      <c r="BB262" s="1147"/>
    </row>
    <row r="263" spans="1:54" s="1148" customFormat="1">
      <c r="A263" s="1148">
        <v>6</v>
      </c>
      <c r="B263" s="1149">
        <v>6</v>
      </c>
      <c r="C263" s="1149" t="s">
        <v>572</v>
      </c>
      <c r="D263" s="1433"/>
      <c r="E263" s="1294" t="s">
        <v>559</v>
      </c>
      <c r="F263" s="1249">
        <f t="shared" si="37"/>
        <v>16142224</v>
      </c>
      <c r="G263" s="1249">
        <f>SUM(H263:L263)</f>
        <v>6228662</v>
      </c>
      <c r="H263" s="1233">
        <f>H264+H287+H303</f>
        <v>0</v>
      </c>
      <c r="I263" s="1233">
        <f t="shared" ref="I263:Y263" si="43">I264+I287+I303</f>
        <v>0</v>
      </c>
      <c r="J263" s="1233">
        <f t="shared" si="43"/>
        <v>6228662</v>
      </c>
      <c r="K263" s="1233">
        <f t="shared" si="43"/>
        <v>0</v>
      </c>
      <c r="L263" s="1233">
        <f t="shared" si="43"/>
        <v>0</v>
      </c>
      <c r="M263" s="1233">
        <f t="shared" si="43"/>
        <v>9913562</v>
      </c>
      <c r="N263" s="1233">
        <f t="shared" si="43"/>
        <v>962276</v>
      </c>
      <c r="O263" s="1233">
        <f t="shared" si="43"/>
        <v>330975</v>
      </c>
      <c r="P263" s="1233">
        <f t="shared" si="43"/>
        <v>791760</v>
      </c>
      <c r="Q263" s="1233">
        <f t="shared" si="43"/>
        <v>1370854</v>
      </c>
      <c r="R263" s="1233">
        <f t="shared" si="43"/>
        <v>1092236</v>
      </c>
      <c r="S263" s="1233">
        <f t="shared" si="43"/>
        <v>712553</v>
      </c>
      <c r="T263" s="1233">
        <f t="shared" si="43"/>
        <v>1352521</v>
      </c>
      <c r="U263" s="1233">
        <f t="shared" si="43"/>
        <v>853806</v>
      </c>
      <c r="V263" s="1233">
        <f t="shared" si="43"/>
        <v>945364</v>
      </c>
      <c r="W263" s="1233">
        <f t="shared" si="43"/>
        <v>439444</v>
      </c>
      <c r="X263" s="1233">
        <f t="shared" si="43"/>
        <v>586399</v>
      </c>
      <c r="Y263" s="1233">
        <f t="shared" si="43"/>
        <v>475374</v>
      </c>
    </row>
    <row r="264" spans="1:54" s="1145" customFormat="1" ht="36">
      <c r="A264" s="1145" t="s">
        <v>806</v>
      </c>
      <c r="B264" s="1150" t="s">
        <v>249</v>
      </c>
      <c r="C264" s="1151" t="s">
        <v>572</v>
      </c>
      <c r="D264" s="1434"/>
      <c r="E264" s="1152" t="s">
        <v>560</v>
      </c>
      <c r="F264" s="1263">
        <f t="shared" ref="F264:F327" si="44">G264+M264</f>
        <v>10513932</v>
      </c>
      <c r="G264" s="1263">
        <f t="shared" ref="G264:G323" si="45">SUM(H264:L264)</f>
        <v>1950612</v>
      </c>
      <c r="H264" s="1247">
        <f>SUM(H265:H286)</f>
        <v>0</v>
      </c>
      <c r="I264" s="1247">
        <f t="shared" ref="I264:K264" si="46">SUM(I265:I286)</f>
        <v>0</v>
      </c>
      <c r="J264" s="1247">
        <f t="shared" si="46"/>
        <v>1950612</v>
      </c>
      <c r="K264" s="1247">
        <f t="shared" si="46"/>
        <v>0</v>
      </c>
      <c r="L264" s="1247">
        <f t="shared" ref="L264" si="47">SUM(L265:L286)</f>
        <v>0</v>
      </c>
      <c r="M264" s="1247">
        <f t="shared" ref="M264:N264" si="48">SUM(M265:M286)</f>
        <v>8563320</v>
      </c>
      <c r="N264" s="1247">
        <f t="shared" si="48"/>
        <v>750656</v>
      </c>
      <c r="O264" s="1247">
        <f t="shared" ref="O264" si="49">SUM(O265:O286)</f>
        <v>285395</v>
      </c>
      <c r="P264" s="1247">
        <f t="shared" ref="P264:Q264" si="50">SUM(P265:P286)</f>
        <v>673000</v>
      </c>
      <c r="Q264" s="1247">
        <f t="shared" si="50"/>
        <v>1144184</v>
      </c>
      <c r="R264" s="1247">
        <f t="shared" ref="R264" si="51">SUM(R265:R286)</f>
        <v>976400</v>
      </c>
      <c r="S264" s="1247">
        <f t="shared" ref="S264:T264" si="52">SUM(S265:S286)</f>
        <v>641253</v>
      </c>
      <c r="T264" s="1247">
        <f t="shared" si="52"/>
        <v>1214971</v>
      </c>
      <c r="U264" s="1247">
        <f t="shared" ref="U264" si="53">SUM(U265:U286)</f>
        <v>757906</v>
      </c>
      <c r="V264" s="1247">
        <f t="shared" ref="V264:W264" si="54">SUM(V265:V286)</f>
        <v>862664</v>
      </c>
      <c r="W264" s="1247">
        <f t="shared" si="54"/>
        <v>364054</v>
      </c>
      <c r="X264" s="1247">
        <f t="shared" ref="X264" si="55">SUM(X265:X286)</f>
        <v>493783</v>
      </c>
      <c r="Y264" s="1247">
        <f t="shared" ref="Y264" si="56">SUM(Y265:Y286)</f>
        <v>399054</v>
      </c>
    </row>
    <row r="265" spans="1:54" s="1145" customFormat="1" ht="36">
      <c r="B265" s="1150"/>
      <c r="C265" s="1151" t="s">
        <v>572</v>
      </c>
      <c r="D265" s="1434">
        <v>1</v>
      </c>
      <c r="E265" s="1153" t="s">
        <v>148</v>
      </c>
      <c r="F265" s="1263">
        <f t="shared" si="44"/>
        <v>0</v>
      </c>
      <c r="G265" s="1263">
        <f t="shared" si="45"/>
        <v>0</v>
      </c>
      <c r="H265" s="1247"/>
      <c r="I265" s="1250"/>
      <c r="J265" s="1250"/>
      <c r="K265" s="1250"/>
      <c r="L265" s="1250"/>
      <c r="M265" s="1263">
        <f t="shared" ref="M265:M323" si="57">SUM(N265:Y265)</f>
        <v>0</v>
      </c>
      <c r="N265" s="1242"/>
      <c r="O265" s="1242"/>
      <c r="P265" s="1242"/>
      <c r="Q265" s="1242"/>
      <c r="R265" s="1242"/>
      <c r="S265" s="1242"/>
      <c r="T265" s="1242"/>
      <c r="U265" s="1242"/>
      <c r="V265" s="1242"/>
      <c r="W265" s="1242"/>
      <c r="X265" s="1242"/>
      <c r="Y265" s="1242"/>
    </row>
    <row r="266" spans="1:54" s="1145" customFormat="1" ht="24">
      <c r="B266" s="1154"/>
      <c r="C266" s="1155" t="s">
        <v>572</v>
      </c>
      <c r="D266" s="1434">
        <v>2</v>
      </c>
      <c r="E266" s="1156" t="s">
        <v>149</v>
      </c>
      <c r="F266" s="1258">
        <f t="shared" si="44"/>
        <v>4478400</v>
      </c>
      <c r="G266" s="1258">
        <f t="shared" si="45"/>
        <v>0</v>
      </c>
      <c r="H266" s="1238"/>
      <c r="I266" s="1239"/>
      <c r="J266" s="1239"/>
      <c r="K266" s="1239"/>
      <c r="L266" s="1239"/>
      <c r="M266" s="1258">
        <f t="shared" si="57"/>
        <v>4478400</v>
      </c>
      <c r="N266" s="1240">
        <v>540000</v>
      </c>
      <c r="O266" s="1240">
        <v>68400</v>
      </c>
      <c r="P266" s="1240">
        <f>318600+2400</f>
        <v>321000</v>
      </c>
      <c r="Q266" s="1240">
        <v>597600</v>
      </c>
      <c r="R266" s="1240">
        <v>531000</v>
      </c>
      <c r="S266" s="1240">
        <v>197400</v>
      </c>
      <c r="T266" s="1240">
        <v>621000</v>
      </c>
      <c r="U266" s="1240">
        <v>509400</v>
      </c>
      <c r="V266" s="1240">
        <v>495000</v>
      </c>
      <c r="W266" s="1240">
        <v>169200</v>
      </c>
      <c r="X266" s="1240">
        <v>223200</v>
      </c>
      <c r="Y266" s="1240">
        <v>205200</v>
      </c>
    </row>
    <row r="267" spans="1:54" s="1145" customFormat="1">
      <c r="B267" s="1154"/>
      <c r="C267" s="1155" t="s">
        <v>572</v>
      </c>
      <c r="D267" s="1434">
        <v>3</v>
      </c>
      <c r="E267" s="1156" t="s">
        <v>151</v>
      </c>
      <c r="F267" s="1258">
        <f t="shared" si="44"/>
        <v>1148065</v>
      </c>
      <c r="G267" s="1258">
        <f t="shared" si="45"/>
        <v>0</v>
      </c>
      <c r="H267" s="1238"/>
      <c r="I267" s="1239"/>
      <c r="J267" s="1239"/>
      <c r="K267" s="1239"/>
      <c r="L267" s="1239"/>
      <c r="M267" s="1258">
        <f t="shared" si="57"/>
        <v>1148065</v>
      </c>
      <c r="N267" s="1240">
        <f>7330+1036</f>
        <v>8366</v>
      </c>
      <c r="O267" s="1240">
        <v>58600</v>
      </c>
      <c r="P267" s="1240">
        <v>80000</v>
      </c>
      <c r="Q267" s="1240">
        <v>162534</v>
      </c>
      <c r="R267" s="1240">
        <v>120000</v>
      </c>
      <c r="S267" s="1240">
        <v>172323</v>
      </c>
      <c r="T267" s="1240">
        <v>207571</v>
      </c>
      <c r="U267" s="1240">
        <v>58746</v>
      </c>
      <c r="V267" s="1240">
        <v>74644</v>
      </c>
      <c r="W267" s="1240">
        <v>50914</v>
      </c>
      <c r="X267" s="1240">
        <v>103453</v>
      </c>
      <c r="Y267" s="1240">
        <v>50914</v>
      </c>
    </row>
    <row r="268" spans="1:54" s="1145" customFormat="1">
      <c r="B268" s="1154"/>
      <c r="C268" s="1155" t="s">
        <v>572</v>
      </c>
      <c r="D268" s="1434">
        <v>4</v>
      </c>
      <c r="E268" s="1156" t="s">
        <v>297</v>
      </c>
      <c r="F268" s="1258">
        <f t="shared" si="44"/>
        <v>0</v>
      </c>
      <c r="G268" s="1258">
        <f t="shared" si="45"/>
        <v>0</v>
      </c>
      <c r="H268" s="1238"/>
      <c r="I268" s="1239"/>
      <c r="J268" s="1239"/>
      <c r="K268" s="1239"/>
      <c r="L268" s="1239"/>
      <c r="M268" s="1258">
        <f t="shared" si="57"/>
        <v>0</v>
      </c>
      <c r="N268" s="1240"/>
      <c r="O268" s="1240"/>
      <c r="P268" s="1240"/>
      <c r="Q268" s="1240"/>
      <c r="R268" s="1269"/>
      <c r="S268" s="1240"/>
      <c r="T268" s="1240"/>
      <c r="U268" s="1240">
        <v>0</v>
      </c>
      <c r="V268" s="1240"/>
      <c r="W268" s="1240"/>
      <c r="X268" s="1240"/>
      <c r="Y268" s="1240"/>
    </row>
    <row r="269" spans="1:54" s="1145" customFormat="1" ht="24">
      <c r="B269" s="1154"/>
      <c r="C269" s="1155" t="s">
        <v>572</v>
      </c>
      <c r="D269" s="1434">
        <v>5</v>
      </c>
      <c r="E269" s="1156" t="s">
        <v>272</v>
      </c>
      <c r="F269" s="1258">
        <f t="shared" si="44"/>
        <v>293727</v>
      </c>
      <c r="G269" s="1258">
        <f t="shared" si="45"/>
        <v>0</v>
      </c>
      <c r="H269" s="1238"/>
      <c r="I269" s="1239"/>
      <c r="J269" s="1239"/>
      <c r="K269" s="1239"/>
      <c r="L269" s="1239"/>
      <c r="M269" s="1258">
        <f t="shared" si="57"/>
        <v>293727</v>
      </c>
      <c r="N269" s="1240">
        <f>9000+2100+7100</f>
        <v>18200</v>
      </c>
      <c r="O269" s="1240">
        <v>3207</v>
      </c>
      <c r="P269" s="1240">
        <f>14000+12600+20000</f>
        <v>46600</v>
      </c>
      <c r="Q269" s="1240">
        <v>70500</v>
      </c>
      <c r="R269" s="1240">
        <v>25000</v>
      </c>
      <c r="S269" s="1240">
        <v>10080</v>
      </c>
      <c r="T269" s="1240">
        <v>21000</v>
      </c>
      <c r="U269" s="1240">
        <v>13860</v>
      </c>
      <c r="V269" s="1240">
        <v>27820</v>
      </c>
      <c r="W269" s="1240">
        <v>11340</v>
      </c>
      <c r="X269" s="1240">
        <f>16100+7080+11000+600</f>
        <v>34780</v>
      </c>
      <c r="Y269" s="1240">
        <v>11340</v>
      </c>
    </row>
    <row r="270" spans="1:54" s="1145" customFormat="1" ht="36">
      <c r="B270" s="1154"/>
      <c r="C270" s="1155" t="s">
        <v>572</v>
      </c>
      <c r="D270" s="1434">
        <v>6</v>
      </c>
      <c r="E270" s="1156" t="s">
        <v>153</v>
      </c>
      <c r="F270" s="1258">
        <f t="shared" si="44"/>
        <v>72400</v>
      </c>
      <c r="G270" s="1258">
        <f t="shared" si="45"/>
        <v>47000</v>
      </c>
      <c r="H270" s="1238"/>
      <c r="I270" s="1239"/>
      <c r="J270" s="1239">
        <v>47000</v>
      </c>
      <c r="K270" s="1239"/>
      <c r="L270" s="1239"/>
      <c r="M270" s="1258">
        <f t="shared" si="57"/>
        <v>25400</v>
      </c>
      <c r="N270" s="1240">
        <v>2000</v>
      </c>
      <c r="O270" s="1240">
        <v>2000</v>
      </c>
      <c r="P270" s="1240">
        <v>2000</v>
      </c>
      <c r="Q270" s="1240">
        <v>2000</v>
      </c>
      <c r="R270" s="1240">
        <v>2000</v>
      </c>
      <c r="S270" s="1240">
        <v>2000</v>
      </c>
      <c r="T270" s="1240">
        <v>2000</v>
      </c>
      <c r="U270" s="1240">
        <v>2000</v>
      </c>
      <c r="V270" s="1240">
        <v>2000</v>
      </c>
      <c r="W270" s="1240">
        <v>2000</v>
      </c>
      <c r="X270" s="1240">
        <v>3400</v>
      </c>
      <c r="Y270" s="1240">
        <v>2000</v>
      </c>
    </row>
    <row r="271" spans="1:54" s="1145" customFormat="1" ht="36">
      <c r="B271" s="1154"/>
      <c r="C271" s="1155" t="s">
        <v>572</v>
      </c>
      <c r="D271" s="1434">
        <v>7</v>
      </c>
      <c r="E271" s="1156" t="s">
        <v>273</v>
      </c>
      <c r="F271" s="1258">
        <f t="shared" si="44"/>
        <v>1197017</v>
      </c>
      <c r="G271" s="1258">
        <f t="shared" si="45"/>
        <v>1055500</v>
      </c>
      <c r="H271" s="1238"/>
      <c r="I271" s="1239"/>
      <c r="J271" s="1239">
        <v>1055500</v>
      </c>
      <c r="K271" s="1239"/>
      <c r="L271" s="1239"/>
      <c r="M271" s="1258">
        <f t="shared" si="57"/>
        <v>141517</v>
      </c>
      <c r="N271" s="1240">
        <v>26000</v>
      </c>
      <c r="O271" s="1240">
        <v>7817</v>
      </c>
      <c r="P271" s="1240">
        <v>3000</v>
      </c>
      <c r="Q271" s="1240">
        <v>13000</v>
      </c>
      <c r="R271" s="1240">
        <v>14000</v>
      </c>
      <c r="S271" s="1240">
        <v>7000</v>
      </c>
      <c r="T271" s="1240">
        <v>17000</v>
      </c>
      <c r="U271" s="1240">
        <v>9800</v>
      </c>
      <c r="V271" s="1240">
        <v>18000</v>
      </c>
      <c r="W271" s="1240">
        <v>8100</v>
      </c>
      <c r="X271" s="1240">
        <f>3700+6000</f>
        <v>9700</v>
      </c>
      <c r="Y271" s="1240">
        <v>8100</v>
      </c>
    </row>
    <row r="272" spans="1:54" s="1145" customFormat="1" ht="36">
      <c r="B272" s="1154"/>
      <c r="C272" s="1155" t="s">
        <v>572</v>
      </c>
      <c r="D272" s="1434">
        <v>8</v>
      </c>
      <c r="E272" s="1156" t="s">
        <v>158</v>
      </c>
      <c r="F272" s="1258">
        <f t="shared" si="44"/>
        <v>53060</v>
      </c>
      <c r="G272" s="1258">
        <f t="shared" si="45"/>
        <v>53060</v>
      </c>
      <c r="H272" s="1238"/>
      <c r="I272" s="1239"/>
      <c r="J272" s="1239">
        <v>53060</v>
      </c>
      <c r="K272" s="1239"/>
      <c r="L272" s="1239"/>
      <c r="M272" s="1258">
        <f t="shared" si="57"/>
        <v>0</v>
      </c>
      <c r="N272" s="1240"/>
      <c r="O272" s="1240"/>
      <c r="P272" s="1240"/>
      <c r="Q272" s="1240"/>
      <c r="R272" s="1240"/>
      <c r="S272" s="1240"/>
      <c r="T272" s="1240"/>
      <c r="U272" s="1240">
        <v>0</v>
      </c>
      <c r="V272" s="1251"/>
      <c r="W272" s="1240"/>
      <c r="X272" s="1240"/>
      <c r="Y272" s="1240"/>
    </row>
    <row r="273" spans="1:25" s="1145" customFormat="1" ht="48">
      <c r="B273" s="1154"/>
      <c r="C273" s="1155" t="s">
        <v>572</v>
      </c>
      <c r="D273" s="1434">
        <v>9</v>
      </c>
      <c r="E273" s="1156" t="s">
        <v>160</v>
      </c>
      <c r="F273" s="1258"/>
      <c r="G273" s="1258"/>
      <c r="H273" s="1238"/>
      <c r="I273" s="1239"/>
      <c r="J273" s="1239"/>
      <c r="K273" s="1239"/>
      <c r="L273" s="1239"/>
      <c r="M273" s="1258"/>
      <c r="N273" s="1240"/>
      <c r="O273" s="1240"/>
      <c r="P273" s="1240"/>
      <c r="Q273" s="1240"/>
      <c r="R273" s="1240"/>
      <c r="S273" s="1240"/>
      <c r="T273" s="1240"/>
      <c r="U273" s="1240"/>
      <c r="V273" s="1251"/>
      <c r="W273" s="1240"/>
      <c r="X273" s="1240"/>
      <c r="Y273" s="1240"/>
    </row>
    <row r="274" spans="1:25" s="1145" customFormat="1" ht="24">
      <c r="B274" s="1154"/>
      <c r="C274" s="1155" t="s">
        <v>572</v>
      </c>
      <c r="D274" s="1434">
        <v>10</v>
      </c>
      <c r="E274" s="1156" t="s">
        <v>162</v>
      </c>
      <c r="F274" s="1258">
        <f t="shared" si="44"/>
        <v>424988</v>
      </c>
      <c r="G274" s="1258">
        <f t="shared" si="45"/>
        <v>328552</v>
      </c>
      <c r="H274" s="1238"/>
      <c r="I274" s="1239"/>
      <c r="J274" s="1239">
        <v>328552</v>
      </c>
      <c r="K274" s="1239"/>
      <c r="L274" s="1239"/>
      <c r="M274" s="1258">
        <f t="shared" si="57"/>
        <v>96436</v>
      </c>
      <c r="N274" s="1240">
        <v>19500</v>
      </c>
      <c r="O274" s="1240">
        <v>12036</v>
      </c>
      <c r="P274" s="1240">
        <v>20000</v>
      </c>
      <c r="Q274" s="1240">
        <v>21850</v>
      </c>
      <c r="R274" s="1240">
        <v>20000</v>
      </c>
      <c r="S274" s="1240">
        <v>3050</v>
      </c>
      <c r="T274" s="1240"/>
      <c r="U274" s="1240">
        <v>0</v>
      </c>
      <c r="V274" s="1238"/>
      <c r="W274" s="1240"/>
      <c r="X274" s="1240"/>
      <c r="Y274" s="1240"/>
    </row>
    <row r="275" spans="1:25" s="1145" customFormat="1" ht="60">
      <c r="B275" s="1154"/>
      <c r="C275" s="1155" t="s">
        <v>572</v>
      </c>
      <c r="D275" s="1434">
        <v>11</v>
      </c>
      <c r="E275" s="1157" t="s">
        <v>156</v>
      </c>
      <c r="F275" s="1258">
        <f t="shared" si="44"/>
        <v>140000</v>
      </c>
      <c r="G275" s="1258">
        <f t="shared" si="45"/>
        <v>0</v>
      </c>
      <c r="H275" s="1238"/>
      <c r="I275" s="1239"/>
      <c r="J275" s="1239"/>
      <c r="K275" s="1239"/>
      <c r="L275" s="1239"/>
      <c r="M275" s="1258">
        <f t="shared" si="57"/>
        <v>140000</v>
      </c>
      <c r="N275" s="1240"/>
      <c r="O275" s="1240">
        <v>10000</v>
      </c>
      <c r="P275" s="1240">
        <v>30000</v>
      </c>
      <c r="Q275" s="1240">
        <v>20000</v>
      </c>
      <c r="R275" s="1240">
        <v>30000</v>
      </c>
      <c r="S275" s="1240">
        <v>30000</v>
      </c>
      <c r="T275" s="1240">
        <v>20000</v>
      </c>
      <c r="U275" s="1240">
        <v>0</v>
      </c>
      <c r="V275" s="1240"/>
      <c r="W275" s="1240"/>
      <c r="X275" s="1240"/>
      <c r="Y275" s="1240"/>
    </row>
    <row r="276" spans="1:25" s="1145" customFormat="1">
      <c r="B276" s="1158"/>
      <c r="C276" s="1155" t="s">
        <v>572</v>
      </c>
      <c r="D276" s="1434">
        <v>12</v>
      </c>
      <c r="E276" s="1085" t="s">
        <v>292</v>
      </c>
      <c r="F276" s="1258">
        <f t="shared" si="44"/>
        <v>720000</v>
      </c>
      <c r="G276" s="1258">
        <f t="shared" si="45"/>
        <v>64000</v>
      </c>
      <c r="H276" s="1238"/>
      <c r="I276" s="1239"/>
      <c r="J276" s="1239">
        <v>64000</v>
      </c>
      <c r="K276" s="1239"/>
      <c r="L276" s="1239"/>
      <c r="M276" s="1258">
        <f t="shared" si="57"/>
        <v>656000</v>
      </c>
      <c r="N276" s="1251">
        <v>32000</v>
      </c>
      <c r="O276" s="1251">
        <v>24000</v>
      </c>
      <c r="P276" s="1251">
        <v>48000</v>
      </c>
      <c r="Q276" s="1251">
        <v>60000</v>
      </c>
      <c r="R276" s="1242">
        <v>68800</v>
      </c>
      <c r="S276" s="1242">
        <v>72000</v>
      </c>
      <c r="T276" s="1251">
        <v>92000</v>
      </c>
      <c r="U276" s="1242">
        <v>48000</v>
      </c>
      <c r="V276" s="1251">
        <v>88000</v>
      </c>
      <c r="W276" s="1242">
        <v>40000</v>
      </c>
      <c r="X276" s="1251">
        <v>43200</v>
      </c>
      <c r="Y276" s="1242">
        <v>40000</v>
      </c>
    </row>
    <row r="277" spans="1:25" s="1145" customFormat="1">
      <c r="B277" s="1158"/>
      <c r="C277" s="1155" t="s">
        <v>572</v>
      </c>
      <c r="D277" s="1434">
        <v>13</v>
      </c>
      <c r="E277" s="1085" t="s">
        <v>291</v>
      </c>
      <c r="F277" s="1258">
        <f t="shared" si="44"/>
        <v>1280000</v>
      </c>
      <c r="G277" s="1258">
        <f t="shared" si="45"/>
        <v>60300</v>
      </c>
      <c r="H277" s="1238"/>
      <c r="I277" s="1239"/>
      <c r="J277" s="1239">
        <v>60300</v>
      </c>
      <c r="K277" s="1239"/>
      <c r="L277" s="1239"/>
      <c r="M277" s="1258">
        <f t="shared" si="57"/>
        <v>1219700</v>
      </c>
      <c r="N277" s="1251">
        <v>77550</v>
      </c>
      <c r="O277" s="1251">
        <v>78400</v>
      </c>
      <c r="P277" s="1251">
        <v>108900</v>
      </c>
      <c r="Q277" s="1251">
        <v>149200</v>
      </c>
      <c r="R277" s="1242">
        <v>126800</v>
      </c>
      <c r="S277" s="1242">
        <v>121600</v>
      </c>
      <c r="T277" s="1251">
        <v>174500</v>
      </c>
      <c r="U277" s="1242">
        <v>82000</v>
      </c>
      <c r="V277" s="1251">
        <v>134800</v>
      </c>
      <c r="W277" s="1242">
        <v>53500</v>
      </c>
      <c r="X277" s="1251">
        <v>59950</v>
      </c>
      <c r="Y277" s="1242">
        <v>52500</v>
      </c>
    </row>
    <row r="278" spans="1:25" s="1159" customFormat="1" ht="24">
      <c r="B278" s="1160"/>
      <c r="C278" s="1149" t="s">
        <v>572</v>
      </c>
      <c r="D278" s="1434">
        <v>14</v>
      </c>
      <c r="E278" s="1161" t="s">
        <v>173</v>
      </c>
      <c r="F278" s="1232">
        <f t="shared" si="44"/>
        <v>0</v>
      </c>
      <c r="G278" s="1232">
        <f t="shared" si="45"/>
        <v>0</v>
      </c>
      <c r="H278" s="1271"/>
      <c r="I278" s="1272"/>
      <c r="J278" s="1272"/>
      <c r="K278" s="1272"/>
      <c r="L278" s="1272"/>
      <c r="M278" s="1232">
        <f t="shared" si="57"/>
        <v>0</v>
      </c>
      <c r="N278" s="1273"/>
      <c r="O278" s="1273"/>
      <c r="P278" s="1273"/>
      <c r="Q278" s="1273"/>
      <c r="R278" s="1273"/>
      <c r="S278" s="1273"/>
      <c r="T278" s="1273"/>
      <c r="U278" s="1273"/>
      <c r="V278" s="1273"/>
      <c r="W278" s="1273"/>
      <c r="X278" s="1273"/>
      <c r="Y278" s="1273"/>
    </row>
    <row r="279" spans="1:25" s="1145" customFormat="1" ht="36">
      <c r="B279" s="1154"/>
      <c r="C279" s="1155" t="s">
        <v>572</v>
      </c>
      <c r="D279" s="1434">
        <v>15</v>
      </c>
      <c r="E279" s="1162" t="s">
        <v>696</v>
      </c>
      <c r="F279" s="1258">
        <f t="shared" si="44"/>
        <v>350075</v>
      </c>
      <c r="G279" s="1258">
        <f t="shared" si="45"/>
        <v>0</v>
      </c>
      <c r="H279" s="1238"/>
      <c r="I279" s="1239"/>
      <c r="J279" s="1239"/>
      <c r="K279" s="1239"/>
      <c r="L279" s="1239"/>
      <c r="M279" s="1258">
        <f t="shared" si="57"/>
        <v>350075</v>
      </c>
      <c r="N279" s="1240">
        <f>14400+8640</f>
        <v>23040</v>
      </c>
      <c r="O279" s="1240">
        <v>20935</v>
      </c>
      <c r="P279" s="1240">
        <v>13500</v>
      </c>
      <c r="Q279" s="1238">
        <v>47500</v>
      </c>
      <c r="R279" s="1240">
        <f>12800+16000</f>
        <v>28800</v>
      </c>
      <c r="S279" s="1240">
        <v>25800</v>
      </c>
      <c r="T279" s="1240">
        <v>59900</v>
      </c>
      <c r="U279" s="1240">
        <v>34100</v>
      </c>
      <c r="V279" s="1240">
        <v>22400</v>
      </c>
      <c r="W279" s="1240">
        <v>29000</v>
      </c>
      <c r="X279" s="1240">
        <v>16100</v>
      </c>
      <c r="Y279" s="1240">
        <v>29000</v>
      </c>
    </row>
    <row r="280" spans="1:25" s="1088" customFormat="1" ht="36">
      <c r="B280" s="1154"/>
      <c r="C280" s="1155" t="s">
        <v>572</v>
      </c>
      <c r="D280" s="1434">
        <v>16</v>
      </c>
      <c r="E280" s="1162" t="s">
        <v>695</v>
      </c>
      <c r="F280" s="1258"/>
      <c r="G280" s="1258"/>
      <c r="H280" s="1238"/>
      <c r="I280" s="1239"/>
      <c r="J280" s="1239"/>
      <c r="K280" s="1239"/>
      <c r="L280" s="1239"/>
      <c r="M280" s="1258"/>
      <c r="N280" s="1240"/>
      <c r="O280" s="1240"/>
      <c r="P280" s="1240"/>
      <c r="Q280" s="1238"/>
      <c r="R280" s="1255"/>
      <c r="S280" s="1240"/>
      <c r="T280" s="1240"/>
      <c r="U280" s="1240"/>
      <c r="V280" s="1240"/>
      <c r="W280" s="1240"/>
      <c r="X280" s="1240"/>
      <c r="Y280" s="1240"/>
    </row>
    <row r="281" spans="1:25" s="1145" customFormat="1" ht="72">
      <c r="B281" s="1154"/>
      <c r="C281" s="1155" t="s">
        <v>572</v>
      </c>
      <c r="D281" s="1434">
        <v>17</v>
      </c>
      <c r="E281" s="1163" t="s">
        <v>176</v>
      </c>
      <c r="F281" s="1258">
        <f t="shared" si="44"/>
        <v>61200</v>
      </c>
      <c r="G281" s="1258">
        <f t="shared" si="45"/>
        <v>61200</v>
      </c>
      <c r="H281" s="1238"/>
      <c r="I281" s="1239"/>
      <c r="J281" s="1239">
        <v>61200</v>
      </c>
      <c r="K281" s="1239"/>
      <c r="L281" s="1239"/>
      <c r="M281" s="1258">
        <f t="shared" si="57"/>
        <v>0</v>
      </c>
      <c r="N281" s="1240"/>
      <c r="O281" s="1240"/>
      <c r="P281" s="1240"/>
      <c r="Q281" s="1240"/>
      <c r="R281" s="1255"/>
      <c r="S281" s="1240"/>
      <c r="T281" s="1240"/>
      <c r="U281" s="1240">
        <v>0</v>
      </c>
      <c r="V281" s="1251"/>
      <c r="W281" s="1240"/>
      <c r="X281" s="1240"/>
      <c r="Y281" s="1240"/>
    </row>
    <row r="282" spans="1:25" s="1145" customFormat="1" ht="24">
      <c r="B282" s="1154"/>
      <c r="C282" s="1155" t="s">
        <v>572</v>
      </c>
      <c r="D282" s="1434">
        <v>18</v>
      </c>
      <c r="E282" s="1163" t="s">
        <v>177</v>
      </c>
      <c r="F282" s="1258">
        <f t="shared" si="44"/>
        <v>11000</v>
      </c>
      <c r="G282" s="1258">
        <f t="shared" si="45"/>
        <v>11000</v>
      </c>
      <c r="H282" s="1238"/>
      <c r="I282" s="1239"/>
      <c r="J282" s="1239">
        <v>11000</v>
      </c>
      <c r="K282" s="1239"/>
      <c r="L282" s="1239"/>
      <c r="M282" s="1258">
        <f t="shared" si="57"/>
        <v>0</v>
      </c>
      <c r="N282" s="1240"/>
      <c r="O282" s="1240"/>
      <c r="P282" s="1240"/>
      <c r="Q282" s="1238"/>
      <c r="R282" s="1255"/>
      <c r="S282" s="1240"/>
      <c r="T282" s="1240"/>
      <c r="U282" s="1240">
        <v>0</v>
      </c>
      <c r="V282" s="1251"/>
      <c r="W282" s="1240"/>
      <c r="X282" s="1240"/>
      <c r="Y282" s="1240"/>
    </row>
    <row r="283" spans="1:25" s="1145" customFormat="1" ht="60">
      <c r="B283" s="1154"/>
      <c r="C283" s="1155" t="s">
        <v>572</v>
      </c>
      <c r="D283" s="1434">
        <v>19</v>
      </c>
      <c r="E283" s="1163" t="s">
        <v>178</v>
      </c>
      <c r="F283" s="1258">
        <f t="shared" si="44"/>
        <v>150000</v>
      </c>
      <c r="G283" s="1258">
        <f t="shared" si="45"/>
        <v>150000</v>
      </c>
      <c r="H283" s="1238"/>
      <c r="I283" s="1239"/>
      <c r="J283" s="1239">
        <v>150000</v>
      </c>
      <c r="K283" s="1239"/>
      <c r="L283" s="1239"/>
      <c r="M283" s="1258">
        <f t="shared" si="57"/>
        <v>0</v>
      </c>
      <c r="N283" s="1240"/>
      <c r="O283" s="1240"/>
      <c r="P283" s="1240"/>
      <c r="Q283" s="1238"/>
      <c r="R283" s="1255"/>
      <c r="S283" s="1240"/>
      <c r="T283" s="1240"/>
      <c r="U283" s="1240">
        <v>0</v>
      </c>
      <c r="V283" s="1251"/>
      <c r="W283" s="1240"/>
      <c r="X283" s="1240"/>
      <c r="Y283" s="1240"/>
    </row>
    <row r="284" spans="1:25" s="1145" customFormat="1" ht="24">
      <c r="B284" s="1154"/>
      <c r="C284" s="1155" t="s">
        <v>572</v>
      </c>
      <c r="D284" s="1434">
        <v>20</v>
      </c>
      <c r="E284" s="1163" t="s">
        <v>179</v>
      </c>
      <c r="F284" s="1258">
        <f t="shared" si="44"/>
        <v>134000</v>
      </c>
      <c r="G284" s="1258">
        <f t="shared" si="45"/>
        <v>120000</v>
      </c>
      <c r="H284" s="1238"/>
      <c r="I284" s="1239"/>
      <c r="J284" s="1239">
        <v>120000</v>
      </c>
      <c r="K284" s="1239"/>
      <c r="L284" s="1239"/>
      <c r="M284" s="1258">
        <f t="shared" si="57"/>
        <v>14000</v>
      </c>
      <c r="N284" s="1240">
        <v>4000</v>
      </c>
      <c r="O284" s="1240"/>
      <c r="P284" s="1240"/>
      <c r="Q284" s="1238"/>
      <c r="R284" s="1240">
        <v>10000</v>
      </c>
      <c r="S284" s="1240"/>
      <c r="T284" s="1240"/>
      <c r="U284" s="1240">
        <v>0</v>
      </c>
      <c r="V284" s="1251"/>
      <c r="W284" s="1240"/>
      <c r="X284" s="1240"/>
      <c r="Y284" s="1240"/>
    </row>
    <row r="285" spans="1:25" s="1145" customFormat="1" ht="72">
      <c r="B285" s="1154"/>
      <c r="C285" s="1155" t="s">
        <v>572</v>
      </c>
      <c r="D285" s="1434">
        <v>21</v>
      </c>
      <c r="E285" s="1162" t="s">
        <v>697</v>
      </c>
      <c r="F285" s="1258"/>
      <c r="G285" s="1258"/>
      <c r="H285" s="1238"/>
      <c r="I285" s="1239"/>
      <c r="J285" s="1239"/>
      <c r="K285" s="1239"/>
      <c r="L285" s="1239"/>
      <c r="M285" s="1258"/>
      <c r="N285" s="1240"/>
      <c r="O285" s="1240"/>
      <c r="P285" s="1240"/>
      <c r="Q285" s="1238"/>
      <c r="R285" s="1240"/>
      <c r="S285" s="1240"/>
      <c r="T285" s="1240"/>
      <c r="U285" s="1240"/>
      <c r="V285" s="1251"/>
      <c r="W285" s="1240"/>
      <c r="X285" s="1240"/>
      <c r="Y285" s="1240"/>
    </row>
    <row r="286" spans="1:25" s="1145" customFormat="1" ht="36">
      <c r="B286" s="1154"/>
      <c r="C286" s="1155" t="s">
        <v>572</v>
      </c>
      <c r="D286" s="1434">
        <v>22</v>
      </c>
      <c r="E286" s="1163" t="s">
        <v>181</v>
      </c>
      <c r="F286" s="1258"/>
      <c r="G286" s="1258"/>
      <c r="H286" s="1238"/>
      <c r="I286" s="1239"/>
      <c r="J286" s="1239"/>
      <c r="K286" s="1239"/>
      <c r="L286" s="1239"/>
      <c r="M286" s="1258"/>
      <c r="N286" s="1240"/>
      <c r="O286" s="1240"/>
      <c r="P286" s="1240"/>
      <c r="Q286" s="1238"/>
      <c r="R286" s="1240"/>
      <c r="S286" s="1240"/>
      <c r="T286" s="1240"/>
      <c r="U286" s="1240"/>
      <c r="V286" s="1240"/>
      <c r="W286" s="1240"/>
      <c r="X286" s="1240"/>
      <c r="Y286" s="1240"/>
    </row>
    <row r="287" spans="1:25" s="1164" customFormat="1" ht="24">
      <c r="A287" s="1164" t="s">
        <v>807</v>
      </c>
      <c r="B287" s="1165" t="s">
        <v>258</v>
      </c>
      <c r="C287" s="1149" t="s">
        <v>572</v>
      </c>
      <c r="D287" s="1433"/>
      <c r="E287" s="1166" t="s">
        <v>561</v>
      </c>
      <c r="F287" s="1232">
        <f t="shared" si="44"/>
        <v>4722956</v>
      </c>
      <c r="G287" s="1232">
        <f t="shared" si="45"/>
        <v>4193850</v>
      </c>
      <c r="H287" s="1271">
        <f>SUM(H288:H302)</f>
        <v>0</v>
      </c>
      <c r="I287" s="1271">
        <f t="shared" ref="I287:Y287" si="58">SUM(I288:I302)</f>
        <v>0</v>
      </c>
      <c r="J287" s="1271">
        <f t="shared" si="58"/>
        <v>4193850</v>
      </c>
      <c r="K287" s="1271">
        <f t="shared" si="58"/>
        <v>0</v>
      </c>
      <c r="L287" s="1271">
        <f t="shared" si="58"/>
        <v>0</v>
      </c>
      <c r="M287" s="1271">
        <f t="shared" si="58"/>
        <v>529106</v>
      </c>
      <c r="N287" s="1271">
        <f t="shared" si="58"/>
        <v>80320</v>
      </c>
      <c r="O287" s="1271">
        <f t="shared" si="58"/>
        <v>11620</v>
      </c>
      <c r="P287" s="1271">
        <f t="shared" si="58"/>
        <v>44600</v>
      </c>
      <c r="Q287" s="1271">
        <f t="shared" si="58"/>
        <v>58000</v>
      </c>
      <c r="R287" s="1271">
        <f t="shared" si="58"/>
        <v>41600</v>
      </c>
      <c r="S287" s="1271">
        <f t="shared" si="58"/>
        <v>35000</v>
      </c>
      <c r="T287" s="1271">
        <f t="shared" si="58"/>
        <v>67500</v>
      </c>
      <c r="U287" s="1271">
        <f t="shared" si="58"/>
        <v>44900</v>
      </c>
      <c r="V287" s="1271">
        <f t="shared" si="58"/>
        <v>29900</v>
      </c>
      <c r="W287" s="1271">
        <f t="shared" si="58"/>
        <v>37650</v>
      </c>
      <c r="X287" s="1271">
        <f t="shared" si="58"/>
        <v>39916</v>
      </c>
      <c r="Y287" s="1271">
        <f t="shared" si="58"/>
        <v>38100</v>
      </c>
    </row>
    <row r="288" spans="1:25" s="1159" customFormat="1" ht="24">
      <c r="B288" s="1160"/>
      <c r="C288" s="1149" t="s">
        <v>572</v>
      </c>
      <c r="D288" s="1433">
        <v>1</v>
      </c>
      <c r="E288" s="1161" t="s">
        <v>163</v>
      </c>
      <c r="F288" s="1232">
        <f t="shared" si="44"/>
        <v>0</v>
      </c>
      <c r="G288" s="1232">
        <f t="shared" si="45"/>
        <v>0</v>
      </c>
      <c r="H288" s="1271"/>
      <c r="I288" s="1272"/>
      <c r="J288" s="1272"/>
      <c r="K288" s="1272"/>
      <c r="L288" s="1272"/>
      <c r="M288" s="1232">
        <f t="shared" si="57"/>
        <v>0</v>
      </c>
      <c r="N288" s="1273"/>
      <c r="O288" s="1273"/>
      <c r="P288" s="1273"/>
      <c r="Q288" s="1273"/>
      <c r="R288" s="1273"/>
      <c r="S288" s="1273"/>
      <c r="T288" s="1273"/>
      <c r="U288" s="1273"/>
      <c r="V288" s="1273"/>
      <c r="W288" s="1273"/>
      <c r="X288" s="1273"/>
      <c r="Y288" s="1273"/>
    </row>
    <row r="289" spans="1:25" s="1145" customFormat="1" ht="60">
      <c r="B289" s="1154"/>
      <c r="C289" s="1155" t="s">
        <v>572</v>
      </c>
      <c r="D289" s="1435">
        <v>2</v>
      </c>
      <c r="E289" s="1162" t="s">
        <v>698</v>
      </c>
      <c r="F289" s="1258">
        <f t="shared" si="44"/>
        <v>221640</v>
      </c>
      <c r="G289" s="1258">
        <f t="shared" si="45"/>
        <v>0</v>
      </c>
      <c r="H289" s="1238"/>
      <c r="I289" s="1239"/>
      <c r="J289" s="1239"/>
      <c r="K289" s="1239"/>
      <c r="L289" s="1239"/>
      <c r="M289" s="1258">
        <f t="shared" si="57"/>
        <v>221640</v>
      </c>
      <c r="N289" s="1240">
        <v>33400</v>
      </c>
      <c r="O289" s="1240"/>
      <c r="P289" s="1240">
        <v>15000</v>
      </c>
      <c r="Q289" s="1238">
        <v>24500</v>
      </c>
      <c r="R289" s="1240">
        <v>12800</v>
      </c>
      <c r="S289" s="1240">
        <v>14000</v>
      </c>
      <c r="T289" s="1240">
        <v>30500</v>
      </c>
      <c r="U289" s="1240">
        <v>18500</v>
      </c>
      <c r="V289" s="1240">
        <v>22400</v>
      </c>
      <c r="W289" s="1240">
        <v>16500</v>
      </c>
      <c r="X289" s="1240">
        <v>17540</v>
      </c>
      <c r="Y289" s="1240">
        <v>16500</v>
      </c>
    </row>
    <row r="290" spans="1:25" s="1145" customFormat="1" ht="36">
      <c r="B290" s="1154"/>
      <c r="C290" s="1155" t="s">
        <v>572</v>
      </c>
      <c r="D290" s="1433">
        <v>3</v>
      </c>
      <c r="E290" s="1163" t="s">
        <v>164</v>
      </c>
      <c r="F290" s="1258">
        <f t="shared" si="44"/>
        <v>53600</v>
      </c>
      <c r="G290" s="1258">
        <f t="shared" si="45"/>
        <v>53600</v>
      </c>
      <c r="H290" s="1238"/>
      <c r="I290" s="1239"/>
      <c r="J290" s="1239">
        <v>53600</v>
      </c>
      <c r="K290" s="1239"/>
      <c r="L290" s="1239"/>
      <c r="M290" s="1258">
        <f t="shared" si="57"/>
        <v>0</v>
      </c>
      <c r="N290" s="1240"/>
      <c r="O290" s="1240"/>
      <c r="P290" s="1240"/>
      <c r="Q290" s="1238"/>
      <c r="R290" s="1255"/>
      <c r="S290" s="1240"/>
      <c r="T290" s="1240"/>
      <c r="U290" s="1240">
        <v>0</v>
      </c>
      <c r="V290" s="1240"/>
      <c r="W290" s="1240"/>
      <c r="X290" s="1240"/>
      <c r="Y290" s="1240"/>
    </row>
    <row r="291" spans="1:25" s="1145" customFormat="1" ht="36">
      <c r="B291" s="1154"/>
      <c r="C291" s="1155" t="s">
        <v>572</v>
      </c>
      <c r="D291" s="1435">
        <v>4</v>
      </c>
      <c r="E291" s="1163" t="s">
        <v>165</v>
      </c>
      <c r="F291" s="1258">
        <f t="shared" si="44"/>
        <v>3058320</v>
      </c>
      <c r="G291" s="1258">
        <f t="shared" si="45"/>
        <v>2993250</v>
      </c>
      <c r="H291" s="1238"/>
      <c r="I291" s="1239"/>
      <c r="J291" s="1239">
        <v>2993250</v>
      </c>
      <c r="K291" s="1239"/>
      <c r="L291" s="1239"/>
      <c r="M291" s="1258">
        <f t="shared" si="57"/>
        <v>65070</v>
      </c>
      <c r="N291" s="1240">
        <f>7500+2820</f>
        <v>10320</v>
      </c>
      <c r="O291" s="1240">
        <v>2000</v>
      </c>
      <c r="P291" s="1240">
        <v>8000</v>
      </c>
      <c r="Q291" s="1238">
        <v>9000</v>
      </c>
      <c r="R291" s="1240">
        <v>2000</v>
      </c>
      <c r="S291" s="1240">
        <v>4500</v>
      </c>
      <c r="T291" s="1240">
        <v>9000</v>
      </c>
      <c r="U291" s="1240">
        <v>6000</v>
      </c>
      <c r="V291" s="1240">
        <v>3000</v>
      </c>
      <c r="W291" s="1240">
        <v>2250</v>
      </c>
      <c r="X291" s="1240">
        <v>6300</v>
      </c>
      <c r="Y291" s="1240">
        <v>2700</v>
      </c>
    </row>
    <row r="292" spans="1:25" s="1145" customFormat="1" ht="36">
      <c r="B292" s="1154"/>
      <c r="C292" s="1155" t="s">
        <v>572</v>
      </c>
      <c r="D292" s="1433">
        <v>5</v>
      </c>
      <c r="E292" s="1162" t="s">
        <v>699</v>
      </c>
      <c r="F292" s="1258"/>
      <c r="G292" s="1258"/>
      <c r="H292" s="1238"/>
      <c r="I292" s="1239"/>
      <c r="J292" s="1239"/>
      <c r="K292" s="1239"/>
      <c r="L292" s="1239"/>
      <c r="M292" s="1258"/>
      <c r="N292" s="1240"/>
      <c r="O292" s="1240"/>
      <c r="P292" s="1240"/>
      <c r="Q292" s="1238"/>
      <c r="R292" s="1255"/>
      <c r="S292" s="1240"/>
      <c r="T292" s="1240"/>
      <c r="U292" s="1240"/>
      <c r="V292" s="1240"/>
      <c r="W292" s="1240"/>
      <c r="X292" s="1240"/>
      <c r="Y292" s="1240"/>
    </row>
    <row r="293" spans="1:25" s="1145" customFormat="1" ht="60">
      <c r="B293" s="1154"/>
      <c r="C293" s="1155" t="s">
        <v>572</v>
      </c>
      <c r="D293" s="1435">
        <v>6</v>
      </c>
      <c r="E293" s="1163" t="s">
        <v>201</v>
      </c>
      <c r="F293" s="1258">
        <f t="shared" si="44"/>
        <v>287500</v>
      </c>
      <c r="G293" s="1258">
        <f t="shared" si="45"/>
        <v>287500</v>
      </c>
      <c r="H293" s="1238"/>
      <c r="I293" s="1239"/>
      <c r="J293" s="1239">
        <v>287500</v>
      </c>
      <c r="K293" s="1239"/>
      <c r="L293" s="1239"/>
      <c r="M293" s="1258">
        <f t="shared" si="57"/>
        <v>0</v>
      </c>
      <c r="N293" s="1238">
        <f t="shared" ref="N293:Y293" si="59">SUM(N294:N295)</f>
        <v>0</v>
      </c>
      <c r="O293" s="1238">
        <f t="shared" si="59"/>
        <v>0</v>
      </c>
      <c r="P293" s="1238">
        <f t="shared" si="59"/>
        <v>0</v>
      </c>
      <c r="Q293" s="1238">
        <f t="shared" si="59"/>
        <v>0</v>
      </c>
      <c r="R293" s="1238">
        <f t="shared" si="59"/>
        <v>0</v>
      </c>
      <c r="S293" s="1238">
        <f t="shared" si="59"/>
        <v>0</v>
      </c>
      <c r="T293" s="1238">
        <f t="shared" si="59"/>
        <v>0</v>
      </c>
      <c r="U293" s="1238">
        <f t="shared" si="59"/>
        <v>0</v>
      </c>
      <c r="V293" s="1238">
        <f t="shared" si="59"/>
        <v>0</v>
      </c>
      <c r="W293" s="1238">
        <f t="shared" si="59"/>
        <v>0</v>
      </c>
      <c r="X293" s="1238">
        <f t="shared" si="59"/>
        <v>0</v>
      </c>
      <c r="Y293" s="1238">
        <f t="shared" si="59"/>
        <v>0</v>
      </c>
    </row>
    <row r="294" spans="1:25" s="1145" customFormat="1" ht="60">
      <c r="B294" s="1158"/>
      <c r="C294" s="1155" t="s">
        <v>572</v>
      </c>
      <c r="D294" s="1433">
        <v>7</v>
      </c>
      <c r="E294" s="1167" t="s">
        <v>202</v>
      </c>
      <c r="F294" s="1258">
        <f t="shared" si="44"/>
        <v>230000</v>
      </c>
      <c r="G294" s="1258">
        <f t="shared" si="45"/>
        <v>230000</v>
      </c>
      <c r="H294" s="1238"/>
      <c r="I294" s="1239"/>
      <c r="J294" s="1239">
        <v>230000</v>
      </c>
      <c r="K294" s="1239"/>
      <c r="L294" s="1239"/>
      <c r="M294" s="1258">
        <f t="shared" si="57"/>
        <v>0</v>
      </c>
      <c r="N294" s="1251"/>
      <c r="O294" s="1251"/>
      <c r="P294" s="1251"/>
      <c r="Q294" s="1242"/>
      <c r="R294" s="1251"/>
      <c r="S294" s="1242"/>
      <c r="T294" s="1251"/>
      <c r="U294" s="1242"/>
      <c r="V294" s="1242"/>
      <c r="W294" s="1242"/>
      <c r="X294" s="1242"/>
      <c r="Y294" s="1242"/>
    </row>
    <row r="295" spans="1:25" s="1145" customFormat="1" ht="24">
      <c r="B295" s="1158"/>
      <c r="C295" s="1155" t="s">
        <v>572</v>
      </c>
      <c r="D295" s="1435">
        <v>8</v>
      </c>
      <c r="E295" s="1167" t="s">
        <v>203</v>
      </c>
      <c r="F295" s="1258">
        <f t="shared" si="44"/>
        <v>57500</v>
      </c>
      <c r="G295" s="1258">
        <f t="shared" si="45"/>
        <v>57500</v>
      </c>
      <c r="H295" s="1238"/>
      <c r="I295" s="1239"/>
      <c r="J295" s="1239">
        <v>57500</v>
      </c>
      <c r="K295" s="1239"/>
      <c r="L295" s="1239"/>
      <c r="M295" s="1258">
        <f t="shared" si="57"/>
        <v>0</v>
      </c>
      <c r="N295" s="1251"/>
      <c r="O295" s="1251"/>
      <c r="P295" s="1251"/>
      <c r="Q295" s="1242"/>
      <c r="R295" s="1251"/>
      <c r="S295" s="1242"/>
      <c r="T295" s="1251"/>
      <c r="U295" s="1242"/>
      <c r="V295" s="1242"/>
      <c r="W295" s="1242"/>
      <c r="X295" s="1242"/>
      <c r="Y295" s="1242"/>
    </row>
    <row r="296" spans="1:25" s="1145" customFormat="1">
      <c r="B296" s="1158"/>
      <c r="C296" s="1155" t="s">
        <v>572</v>
      </c>
      <c r="D296" s="1433">
        <v>9</v>
      </c>
      <c r="E296" s="1167"/>
      <c r="F296" s="1258">
        <f t="shared" si="44"/>
        <v>0</v>
      </c>
      <c r="G296" s="1258">
        <f t="shared" si="45"/>
        <v>0</v>
      </c>
      <c r="H296" s="1238"/>
      <c r="I296" s="1239"/>
      <c r="J296" s="1239"/>
      <c r="K296" s="1239"/>
      <c r="L296" s="1239"/>
      <c r="M296" s="1258">
        <f t="shared" si="57"/>
        <v>0</v>
      </c>
      <c r="N296" s="1242"/>
      <c r="O296" s="1242"/>
      <c r="P296" s="1242"/>
      <c r="Q296" s="1242"/>
      <c r="R296" s="1242"/>
      <c r="S296" s="1242"/>
      <c r="T296" s="1242"/>
      <c r="U296" s="1242"/>
      <c r="V296" s="1242"/>
      <c r="W296" s="1242"/>
      <c r="X296" s="1242"/>
      <c r="Y296" s="1242"/>
    </row>
    <row r="297" spans="1:25" s="1164" customFormat="1" ht="24">
      <c r="B297" s="1160"/>
      <c r="C297" s="1149" t="s">
        <v>572</v>
      </c>
      <c r="D297" s="1435">
        <v>10</v>
      </c>
      <c r="E297" s="1161" t="s">
        <v>562</v>
      </c>
      <c r="F297" s="1232">
        <f t="shared" si="44"/>
        <v>0</v>
      </c>
      <c r="G297" s="1232">
        <f t="shared" si="45"/>
        <v>0</v>
      </c>
      <c r="H297" s="1271"/>
      <c r="I297" s="1272"/>
      <c r="J297" s="1272"/>
      <c r="K297" s="1272"/>
      <c r="L297" s="1272"/>
      <c r="M297" s="1232">
        <f t="shared" si="57"/>
        <v>0</v>
      </c>
      <c r="N297" s="1273"/>
      <c r="O297" s="1273"/>
      <c r="P297" s="1273"/>
      <c r="Q297" s="1273"/>
      <c r="R297" s="1273"/>
      <c r="S297" s="1273"/>
      <c r="T297" s="1273"/>
      <c r="U297" s="1273"/>
      <c r="V297" s="1273"/>
      <c r="W297" s="1273"/>
      <c r="X297" s="1273"/>
      <c r="Y297" s="1273"/>
    </row>
    <row r="298" spans="1:25" s="1145" customFormat="1" ht="60">
      <c r="B298" s="1154"/>
      <c r="C298" s="1155" t="s">
        <v>572</v>
      </c>
      <c r="D298" s="1433">
        <v>11</v>
      </c>
      <c r="E298" s="1162" t="s">
        <v>700</v>
      </c>
      <c r="F298" s="1258">
        <f t="shared" si="44"/>
        <v>106596</v>
      </c>
      <c r="G298" s="1258">
        <f t="shared" si="45"/>
        <v>0</v>
      </c>
      <c r="H298" s="1238"/>
      <c r="I298" s="1239"/>
      <c r="J298" s="1239"/>
      <c r="K298" s="1239"/>
      <c r="L298" s="1239"/>
      <c r="M298" s="1258">
        <f t="shared" si="57"/>
        <v>106596</v>
      </c>
      <c r="N298" s="1240">
        <v>6600</v>
      </c>
      <c r="O298" s="1240">
        <v>9620</v>
      </c>
      <c r="P298" s="1240">
        <v>9000</v>
      </c>
      <c r="Q298" s="1238">
        <v>9000</v>
      </c>
      <c r="R298" s="1240">
        <v>6800</v>
      </c>
      <c r="S298" s="1240">
        <v>9000</v>
      </c>
      <c r="T298" s="1240">
        <v>9000</v>
      </c>
      <c r="U298" s="1240">
        <v>9000</v>
      </c>
      <c r="V298" s="1240">
        <v>4500</v>
      </c>
      <c r="W298" s="1240">
        <v>9000</v>
      </c>
      <c r="X298" s="1240">
        <v>16076</v>
      </c>
      <c r="Y298" s="1240">
        <v>9000</v>
      </c>
    </row>
    <row r="299" spans="1:25" s="1145" customFormat="1" ht="24">
      <c r="B299" s="1154"/>
      <c r="C299" s="1155" t="s">
        <v>572</v>
      </c>
      <c r="D299" s="1435">
        <v>12</v>
      </c>
      <c r="E299" s="1163" t="s">
        <v>168</v>
      </c>
      <c r="F299" s="1258">
        <f t="shared" si="44"/>
        <v>135800</v>
      </c>
      <c r="G299" s="1258">
        <f t="shared" si="45"/>
        <v>0</v>
      </c>
      <c r="H299" s="1238"/>
      <c r="I299" s="1239"/>
      <c r="J299" s="1239"/>
      <c r="K299" s="1239"/>
      <c r="L299" s="1239"/>
      <c r="M299" s="1258">
        <f t="shared" si="57"/>
        <v>135800</v>
      </c>
      <c r="N299" s="1240">
        <v>30000</v>
      </c>
      <c r="O299" s="1240"/>
      <c r="P299" s="1240">
        <v>12600</v>
      </c>
      <c r="Q299" s="1238">
        <v>15500</v>
      </c>
      <c r="R299" s="1240">
        <v>20000</v>
      </c>
      <c r="S299" s="1240">
        <v>7500</v>
      </c>
      <c r="T299" s="1240">
        <v>19000</v>
      </c>
      <c r="U299" s="1240">
        <v>11400</v>
      </c>
      <c r="V299" s="1240"/>
      <c r="W299" s="1240">
        <v>9900</v>
      </c>
      <c r="X299" s="1240"/>
      <c r="Y299" s="1240">
        <v>9900</v>
      </c>
    </row>
    <row r="300" spans="1:25" s="1145" customFormat="1" ht="96">
      <c r="B300" s="1154"/>
      <c r="C300" s="1155" t="s">
        <v>572</v>
      </c>
      <c r="D300" s="1433">
        <v>13</v>
      </c>
      <c r="E300" s="1163" t="s">
        <v>169</v>
      </c>
      <c r="F300" s="1258">
        <f t="shared" si="44"/>
        <v>50000</v>
      </c>
      <c r="G300" s="1258">
        <f t="shared" si="45"/>
        <v>50000</v>
      </c>
      <c r="H300" s="1238"/>
      <c r="I300" s="1239"/>
      <c r="J300" s="1239">
        <v>50000</v>
      </c>
      <c r="K300" s="1239"/>
      <c r="L300" s="1239"/>
      <c r="M300" s="1258">
        <f t="shared" si="57"/>
        <v>0</v>
      </c>
      <c r="N300" s="1240"/>
      <c r="O300" s="1240"/>
      <c r="P300" s="1240"/>
      <c r="Q300" s="1238"/>
      <c r="R300" s="1255"/>
      <c r="S300" s="1240"/>
      <c r="T300" s="1240"/>
      <c r="U300" s="1240"/>
      <c r="V300" s="1240"/>
      <c r="W300" s="1240"/>
      <c r="X300" s="1240"/>
      <c r="Y300" s="1240"/>
    </row>
    <row r="301" spans="1:25" s="1145" customFormat="1" ht="36">
      <c r="B301" s="1154"/>
      <c r="C301" s="1155" t="s">
        <v>572</v>
      </c>
      <c r="D301" s="1435">
        <v>14</v>
      </c>
      <c r="E301" s="1163" t="s">
        <v>851</v>
      </c>
      <c r="F301" s="1258">
        <f t="shared" si="44"/>
        <v>150000</v>
      </c>
      <c r="G301" s="1258">
        <f t="shared" si="45"/>
        <v>150000</v>
      </c>
      <c r="H301" s="1238"/>
      <c r="I301" s="1239"/>
      <c r="J301" s="1239">
        <v>150000</v>
      </c>
      <c r="K301" s="1239"/>
      <c r="L301" s="1239"/>
      <c r="M301" s="1258">
        <f t="shared" si="57"/>
        <v>0</v>
      </c>
      <c r="N301" s="1240"/>
      <c r="O301" s="1240"/>
      <c r="P301" s="1240"/>
      <c r="Q301" s="1238"/>
      <c r="R301" s="1255"/>
      <c r="S301" s="1240"/>
      <c r="T301" s="1240"/>
      <c r="U301" s="1240"/>
      <c r="V301" s="1240"/>
      <c r="W301" s="1240"/>
      <c r="X301" s="1240"/>
      <c r="Y301" s="1240"/>
    </row>
    <row r="302" spans="1:25" s="1145" customFormat="1">
      <c r="B302" s="1154"/>
      <c r="C302" s="1155" t="s">
        <v>572</v>
      </c>
      <c r="D302" s="1433">
        <v>15</v>
      </c>
      <c r="E302" s="1163" t="s">
        <v>171</v>
      </c>
      <c r="F302" s="1258">
        <f t="shared" si="44"/>
        <v>372000</v>
      </c>
      <c r="G302" s="1258">
        <f t="shared" si="45"/>
        <v>372000</v>
      </c>
      <c r="H302" s="1238"/>
      <c r="I302" s="1239"/>
      <c r="J302" s="1239">
        <v>372000</v>
      </c>
      <c r="K302" s="1239"/>
      <c r="L302" s="1239"/>
      <c r="M302" s="1258">
        <f t="shared" si="57"/>
        <v>0</v>
      </c>
      <c r="N302" s="1240"/>
      <c r="O302" s="1240"/>
      <c r="P302" s="1240"/>
      <c r="Q302" s="1240"/>
      <c r="R302" s="1240"/>
      <c r="S302" s="1240"/>
      <c r="T302" s="1240"/>
      <c r="U302" s="1240"/>
      <c r="V302" s="1240"/>
      <c r="W302" s="1240"/>
      <c r="X302" s="1240"/>
      <c r="Y302" s="1240"/>
    </row>
    <row r="303" spans="1:25" s="1164" customFormat="1" ht="24">
      <c r="A303" s="1164" t="s">
        <v>808</v>
      </c>
      <c r="B303" s="1160" t="s">
        <v>277</v>
      </c>
      <c r="C303" s="1149" t="s">
        <v>572</v>
      </c>
      <c r="D303" s="1433"/>
      <c r="E303" s="1161" t="s">
        <v>26</v>
      </c>
      <c r="F303" s="1232">
        <f t="shared" si="44"/>
        <v>905336</v>
      </c>
      <c r="G303" s="1232">
        <f t="shared" si="45"/>
        <v>84200</v>
      </c>
      <c r="H303" s="1271">
        <f>SUM(H304:H312)</f>
        <v>0</v>
      </c>
      <c r="I303" s="1271">
        <f t="shared" ref="I303:Y303" si="60">SUM(I304:I312)</f>
        <v>0</v>
      </c>
      <c r="J303" s="1271">
        <f t="shared" si="60"/>
        <v>84200</v>
      </c>
      <c r="K303" s="1271">
        <f t="shared" si="60"/>
        <v>0</v>
      </c>
      <c r="L303" s="1271">
        <f t="shared" si="60"/>
        <v>0</v>
      </c>
      <c r="M303" s="1271">
        <f t="shared" si="60"/>
        <v>821136</v>
      </c>
      <c r="N303" s="1271">
        <f t="shared" si="60"/>
        <v>131300</v>
      </c>
      <c r="O303" s="1271">
        <f t="shared" si="60"/>
        <v>33960</v>
      </c>
      <c r="P303" s="1271">
        <f t="shared" si="60"/>
        <v>74160</v>
      </c>
      <c r="Q303" s="1271">
        <f t="shared" si="60"/>
        <v>168670</v>
      </c>
      <c r="R303" s="1271">
        <f t="shared" si="60"/>
        <v>74236</v>
      </c>
      <c r="S303" s="1271">
        <f t="shared" si="60"/>
        <v>36300</v>
      </c>
      <c r="T303" s="1271">
        <f t="shared" si="60"/>
        <v>70050</v>
      </c>
      <c r="U303" s="1271">
        <f t="shared" si="60"/>
        <v>51000</v>
      </c>
      <c r="V303" s="1271">
        <f t="shared" si="60"/>
        <v>52800</v>
      </c>
      <c r="W303" s="1271">
        <f t="shared" si="60"/>
        <v>37740</v>
      </c>
      <c r="X303" s="1271">
        <f t="shared" si="60"/>
        <v>52700</v>
      </c>
      <c r="Y303" s="1271">
        <f t="shared" si="60"/>
        <v>38220</v>
      </c>
    </row>
    <row r="304" spans="1:25" s="1145" customFormat="1" ht="48">
      <c r="B304" s="1158"/>
      <c r="C304" s="1155" t="s">
        <v>572</v>
      </c>
      <c r="D304" s="1435">
        <v>1</v>
      </c>
      <c r="E304" s="1167" t="s">
        <v>275</v>
      </c>
      <c r="F304" s="1258">
        <f t="shared" si="44"/>
        <v>476433</v>
      </c>
      <c r="G304" s="1258">
        <f t="shared" si="45"/>
        <v>0</v>
      </c>
      <c r="H304" s="1238"/>
      <c r="I304" s="1239"/>
      <c r="J304" s="1239"/>
      <c r="K304" s="1239"/>
      <c r="L304" s="1239"/>
      <c r="M304" s="1258">
        <f t="shared" si="57"/>
        <v>476433</v>
      </c>
      <c r="N304" s="1251">
        <v>91500</v>
      </c>
      <c r="O304" s="1251">
        <v>11323</v>
      </c>
      <c r="P304" s="1251">
        <v>48000</v>
      </c>
      <c r="Q304" s="1242">
        <v>54000</v>
      </c>
      <c r="R304" s="1251">
        <v>20800</v>
      </c>
      <c r="S304" s="1242">
        <v>29300</v>
      </c>
      <c r="T304" s="1251">
        <v>59300</v>
      </c>
      <c r="U304" s="1242">
        <v>42750</v>
      </c>
      <c r="V304" s="1251">
        <v>22400</v>
      </c>
      <c r="W304" s="1242">
        <v>30740</v>
      </c>
      <c r="X304" s="1251">
        <v>35100</v>
      </c>
      <c r="Y304" s="1242">
        <v>31220</v>
      </c>
    </row>
    <row r="305" spans="1:25" s="1088" customFormat="1" ht="48">
      <c r="B305" s="1158"/>
      <c r="C305" s="1155" t="s">
        <v>572</v>
      </c>
      <c r="D305" s="1435">
        <v>2</v>
      </c>
      <c r="E305" s="1167" t="s">
        <v>182</v>
      </c>
      <c r="F305" s="1258">
        <f t="shared" si="44"/>
        <v>0</v>
      </c>
      <c r="G305" s="1258">
        <f t="shared" si="45"/>
        <v>0</v>
      </c>
      <c r="H305" s="1238"/>
      <c r="I305" s="1239"/>
      <c r="J305" s="1239"/>
      <c r="K305" s="1239"/>
      <c r="L305" s="1239"/>
      <c r="M305" s="1258">
        <f t="shared" si="57"/>
        <v>0</v>
      </c>
      <c r="N305" s="1251"/>
      <c r="O305" s="1251"/>
      <c r="P305" s="1251"/>
      <c r="Q305" s="1242"/>
      <c r="R305" s="1251"/>
      <c r="S305" s="1242"/>
      <c r="T305" s="1251"/>
      <c r="U305" s="1242">
        <v>0</v>
      </c>
      <c r="V305" s="1251"/>
      <c r="W305" s="1242"/>
      <c r="X305" s="1251"/>
      <c r="Y305" s="1242"/>
    </row>
    <row r="306" spans="1:25" s="1088" customFormat="1" ht="36">
      <c r="B306" s="1158"/>
      <c r="C306" s="1155" t="s">
        <v>572</v>
      </c>
      <c r="D306" s="1435">
        <v>3</v>
      </c>
      <c r="E306" s="1167" t="s">
        <v>183</v>
      </c>
      <c r="F306" s="1258">
        <f t="shared" si="44"/>
        <v>194633</v>
      </c>
      <c r="G306" s="1258">
        <f t="shared" si="45"/>
        <v>32000</v>
      </c>
      <c r="H306" s="1238"/>
      <c r="I306" s="1239"/>
      <c r="J306" s="1239">
        <v>32000</v>
      </c>
      <c r="K306" s="1239"/>
      <c r="L306" s="1239"/>
      <c r="M306" s="1258">
        <f t="shared" si="57"/>
        <v>162633</v>
      </c>
      <c r="N306" s="1251">
        <v>14400</v>
      </c>
      <c r="O306" s="1251">
        <v>17637</v>
      </c>
      <c r="P306" s="1251">
        <v>6160</v>
      </c>
      <c r="Q306" s="1242">
        <v>45000</v>
      </c>
      <c r="R306" s="1251">
        <v>41436</v>
      </c>
      <c r="S306" s="1242"/>
      <c r="T306" s="1251"/>
      <c r="U306" s="1242">
        <v>0</v>
      </c>
      <c r="V306" s="1251">
        <v>22400</v>
      </c>
      <c r="W306" s="1242"/>
      <c r="X306" s="1251">
        <v>15600</v>
      </c>
      <c r="Y306" s="1242"/>
    </row>
    <row r="307" spans="1:25" s="1088" customFormat="1" ht="36">
      <c r="B307" s="1158"/>
      <c r="C307" s="1155" t="s">
        <v>572</v>
      </c>
      <c r="D307" s="1435">
        <v>4</v>
      </c>
      <c r="E307" s="1168" t="s">
        <v>184</v>
      </c>
      <c r="F307" s="1258">
        <f t="shared" si="44"/>
        <v>41000</v>
      </c>
      <c r="G307" s="1258">
        <f t="shared" si="45"/>
        <v>41000</v>
      </c>
      <c r="H307" s="1238"/>
      <c r="I307" s="1239"/>
      <c r="J307" s="1239">
        <v>41000</v>
      </c>
      <c r="K307" s="1239"/>
      <c r="L307" s="1239"/>
      <c r="M307" s="1258">
        <f t="shared" si="57"/>
        <v>0</v>
      </c>
      <c r="N307" s="1251"/>
      <c r="O307" s="1251"/>
      <c r="P307" s="1251"/>
      <c r="Q307" s="1242"/>
      <c r="R307" s="1251"/>
      <c r="S307" s="1242"/>
      <c r="T307" s="1251"/>
      <c r="U307" s="1242">
        <v>0</v>
      </c>
      <c r="V307" s="1242"/>
      <c r="W307" s="1242"/>
      <c r="X307" s="1251"/>
      <c r="Y307" s="1242"/>
    </row>
    <row r="308" spans="1:25" s="1088" customFormat="1" ht="84">
      <c r="B308" s="1158"/>
      <c r="C308" s="1155" t="s">
        <v>572</v>
      </c>
      <c r="D308" s="1435">
        <v>5</v>
      </c>
      <c r="E308" s="1167" t="s">
        <v>276</v>
      </c>
      <c r="F308" s="1258">
        <f t="shared" si="44"/>
        <v>131770</v>
      </c>
      <c r="G308" s="1258">
        <f t="shared" si="45"/>
        <v>11200</v>
      </c>
      <c r="H308" s="1238"/>
      <c r="I308" s="1239"/>
      <c r="J308" s="1239">
        <v>11200</v>
      </c>
      <c r="K308" s="1239"/>
      <c r="L308" s="1239"/>
      <c r="M308" s="1258">
        <f t="shared" si="57"/>
        <v>120570</v>
      </c>
      <c r="N308" s="1251">
        <v>17900</v>
      </c>
      <c r="O308" s="1251">
        <v>2000</v>
      </c>
      <c r="P308" s="1251">
        <v>20000</v>
      </c>
      <c r="Q308" s="1242">
        <v>54670</v>
      </c>
      <c r="R308" s="1251">
        <v>12000</v>
      </c>
      <c r="S308" s="1242">
        <v>2000</v>
      </c>
      <c r="T308" s="1251">
        <v>2000</v>
      </c>
      <c r="U308" s="1242">
        <v>2000</v>
      </c>
      <c r="V308" s="1242">
        <v>2000</v>
      </c>
      <c r="W308" s="1242">
        <v>2000</v>
      </c>
      <c r="X308" s="1242">
        <v>2000</v>
      </c>
      <c r="Y308" s="1242">
        <v>2000</v>
      </c>
    </row>
    <row r="309" spans="1:25" s="1145" customFormat="1" ht="36">
      <c r="B309" s="1154"/>
      <c r="C309" s="1155" t="s">
        <v>572</v>
      </c>
      <c r="D309" s="1435">
        <v>6</v>
      </c>
      <c r="E309" s="1163" t="s">
        <v>185</v>
      </c>
      <c r="F309" s="1258">
        <f t="shared" si="44"/>
        <v>61500</v>
      </c>
      <c r="G309" s="1258">
        <f t="shared" si="45"/>
        <v>0</v>
      </c>
      <c r="H309" s="1238"/>
      <c r="I309" s="1239"/>
      <c r="J309" s="1239"/>
      <c r="K309" s="1239"/>
      <c r="L309" s="1239"/>
      <c r="M309" s="1258">
        <f t="shared" si="57"/>
        <v>61500</v>
      </c>
      <c r="N309" s="1240">
        <v>7500</v>
      </c>
      <c r="O309" s="1240">
        <v>3000</v>
      </c>
      <c r="P309" s="1240"/>
      <c r="Q309" s="1238">
        <v>15000</v>
      </c>
      <c r="R309" s="1240"/>
      <c r="S309" s="1238">
        <v>5000</v>
      </c>
      <c r="T309" s="1240">
        <v>8750</v>
      </c>
      <c r="U309" s="1238">
        <v>6250</v>
      </c>
      <c r="V309" s="1238">
        <v>6000</v>
      </c>
      <c r="W309" s="1238">
        <v>5000</v>
      </c>
      <c r="X309" s="1238"/>
      <c r="Y309" s="1238">
        <v>5000</v>
      </c>
    </row>
    <row r="310" spans="1:25" s="1145" customFormat="1">
      <c r="B310" s="1158"/>
      <c r="C310" s="1155" t="s">
        <v>572</v>
      </c>
      <c r="D310" s="1435">
        <v>7</v>
      </c>
      <c r="E310" s="1085" t="s">
        <v>290</v>
      </c>
      <c r="F310" s="1258">
        <f t="shared" si="44"/>
        <v>0</v>
      </c>
      <c r="G310" s="1258">
        <f t="shared" si="45"/>
        <v>0</v>
      </c>
      <c r="H310" s="1238"/>
      <c r="I310" s="1239"/>
      <c r="J310" s="1239"/>
      <c r="K310" s="1239"/>
      <c r="L310" s="1239"/>
      <c r="M310" s="1258">
        <f t="shared" si="57"/>
        <v>0</v>
      </c>
      <c r="N310" s="1240"/>
      <c r="O310" s="1240"/>
      <c r="P310" s="1240"/>
      <c r="Q310" s="1238"/>
      <c r="R310" s="1240"/>
      <c r="S310" s="1238"/>
      <c r="T310" s="1240"/>
      <c r="U310" s="1238"/>
      <c r="V310" s="1238"/>
      <c r="W310" s="1238"/>
      <c r="X310" s="1238"/>
      <c r="Y310" s="1238"/>
    </row>
    <row r="311" spans="1:25" s="1145" customFormat="1">
      <c r="B311" s="1154"/>
      <c r="C311" s="1155" t="s">
        <v>572</v>
      </c>
      <c r="D311" s="1435">
        <v>8</v>
      </c>
      <c r="E311" s="1085" t="s">
        <v>292</v>
      </c>
      <c r="F311" s="1258">
        <f t="shared" si="44"/>
        <v>0</v>
      </c>
      <c r="G311" s="1258">
        <f t="shared" si="45"/>
        <v>0</v>
      </c>
      <c r="H311" s="1238"/>
      <c r="I311" s="1239"/>
      <c r="J311" s="1239"/>
      <c r="K311" s="1239"/>
      <c r="L311" s="1239"/>
      <c r="M311" s="1258">
        <f t="shared" si="57"/>
        <v>0</v>
      </c>
      <c r="N311" s="1240"/>
      <c r="O311" s="1240"/>
      <c r="P311" s="1240"/>
      <c r="Q311" s="1238"/>
      <c r="R311" s="1240"/>
      <c r="S311" s="1238"/>
      <c r="T311" s="1240"/>
      <c r="U311" s="1238"/>
      <c r="V311" s="1238"/>
      <c r="W311" s="1238"/>
      <c r="X311" s="1238"/>
      <c r="Y311" s="1238"/>
    </row>
    <row r="312" spans="1:25" s="1145" customFormat="1">
      <c r="B312" s="1158"/>
      <c r="C312" s="1155" t="s">
        <v>572</v>
      </c>
      <c r="D312" s="1435">
        <v>9</v>
      </c>
      <c r="E312" s="1085" t="s">
        <v>291</v>
      </c>
      <c r="F312" s="1258">
        <f t="shared" si="44"/>
        <v>0</v>
      </c>
      <c r="G312" s="1258">
        <f t="shared" si="45"/>
        <v>0</v>
      </c>
      <c r="H312" s="1238"/>
      <c r="I312" s="1239"/>
      <c r="J312" s="1239"/>
      <c r="K312" s="1239"/>
      <c r="L312" s="1239"/>
      <c r="M312" s="1258">
        <f t="shared" si="57"/>
        <v>0</v>
      </c>
      <c r="N312" s="1240"/>
      <c r="O312" s="1240"/>
      <c r="P312" s="1240"/>
      <c r="Q312" s="1238"/>
      <c r="R312" s="1240"/>
      <c r="S312" s="1238"/>
      <c r="T312" s="1240"/>
      <c r="U312" s="1238"/>
      <c r="V312" s="1238"/>
      <c r="W312" s="1238"/>
      <c r="X312" s="1238"/>
      <c r="Y312" s="1238"/>
    </row>
    <row r="313" spans="1:25" s="1075" customFormat="1" ht="48">
      <c r="A313" s="1075">
        <v>7</v>
      </c>
      <c r="B313" s="1119">
        <v>7</v>
      </c>
      <c r="C313" s="1169" t="s">
        <v>4</v>
      </c>
      <c r="D313" s="1436"/>
      <c r="E313" s="1308" t="s">
        <v>25</v>
      </c>
      <c r="F313" s="1232">
        <f t="shared" si="44"/>
        <v>598903</v>
      </c>
      <c r="G313" s="1232">
        <f t="shared" si="45"/>
        <v>196899</v>
      </c>
      <c r="H313" s="1233">
        <f>SUM(H314:H324)</f>
        <v>0</v>
      </c>
      <c r="I313" s="1234">
        <f t="shared" ref="I313:Y313" si="61">SUM(I314:I324)</f>
        <v>0</v>
      </c>
      <c r="J313" s="1234">
        <f t="shared" si="61"/>
        <v>0</v>
      </c>
      <c r="K313" s="1234">
        <f t="shared" si="61"/>
        <v>0</v>
      </c>
      <c r="L313" s="1234">
        <f t="shared" si="61"/>
        <v>196899</v>
      </c>
      <c r="M313" s="1232">
        <f t="shared" si="57"/>
        <v>402004</v>
      </c>
      <c r="N313" s="1233">
        <f t="shared" si="61"/>
        <v>129971</v>
      </c>
      <c r="O313" s="1233">
        <f t="shared" si="61"/>
        <v>8000</v>
      </c>
      <c r="P313" s="1233">
        <f t="shared" si="61"/>
        <v>4678</v>
      </c>
      <c r="Q313" s="1233">
        <f t="shared" si="61"/>
        <v>129000</v>
      </c>
      <c r="R313" s="1233">
        <f t="shared" si="61"/>
        <v>24080</v>
      </c>
      <c r="S313" s="1233">
        <f t="shared" si="61"/>
        <v>26826</v>
      </c>
      <c r="T313" s="1233">
        <f t="shared" si="61"/>
        <v>16829</v>
      </c>
      <c r="U313" s="1233">
        <f t="shared" si="61"/>
        <v>0</v>
      </c>
      <c r="V313" s="1233">
        <f t="shared" si="61"/>
        <v>3660</v>
      </c>
      <c r="W313" s="1233">
        <f t="shared" si="61"/>
        <v>31950</v>
      </c>
      <c r="X313" s="1233">
        <f t="shared" si="61"/>
        <v>5650</v>
      </c>
      <c r="Y313" s="1233">
        <f t="shared" si="61"/>
        <v>21360</v>
      </c>
    </row>
    <row r="314" spans="1:25" s="1145" customFormat="1">
      <c r="B314" s="1158"/>
      <c r="C314" s="1154" t="s">
        <v>4</v>
      </c>
      <c r="D314" s="1437">
        <v>1</v>
      </c>
      <c r="E314" s="1167" t="s">
        <v>92</v>
      </c>
      <c r="F314" s="1258">
        <f t="shared" si="44"/>
        <v>289865</v>
      </c>
      <c r="G314" s="1258">
        <f t="shared" si="45"/>
        <v>110939</v>
      </c>
      <c r="H314" s="1238"/>
      <c r="I314" s="1239"/>
      <c r="J314" s="1239"/>
      <c r="K314" s="1239"/>
      <c r="L314" s="1239">
        <f>8954+70340+21520+5701+4424</f>
        <v>110939</v>
      </c>
      <c r="M314" s="1258">
        <f t="shared" si="57"/>
        <v>178926</v>
      </c>
      <c r="N314" s="1238">
        <v>64680</v>
      </c>
      <c r="O314" s="1238">
        <v>8000</v>
      </c>
      <c r="P314" s="1242">
        <v>900</v>
      </c>
      <c r="Q314" s="1242">
        <v>15000</v>
      </c>
      <c r="R314" s="1242">
        <v>24080</v>
      </c>
      <c r="S314" s="1238">
        <v>13826</v>
      </c>
      <c r="T314" s="1238"/>
      <c r="U314" s="1238"/>
      <c r="V314" s="1242">
        <v>3060</v>
      </c>
      <c r="W314" s="1242">
        <v>29950</v>
      </c>
      <c r="X314" s="1242">
        <v>2800</v>
      </c>
      <c r="Y314" s="1238">
        <v>16630</v>
      </c>
    </row>
    <row r="315" spans="1:25" s="1145" customFormat="1">
      <c r="B315" s="1158"/>
      <c r="C315" s="1154" t="s">
        <v>4</v>
      </c>
      <c r="D315" s="1437">
        <v>2</v>
      </c>
      <c r="E315" s="1170" t="s">
        <v>701</v>
      </c>
      <c r="F315" s="1258">
        <f t="shared" si="44"/>
        <v>77540</v>
      </c>
      <c r="G315" s="1258">
        <f t="shared" si="45"/>
        <v>57540</v>
      </c>
      <c r="H315" s="1238"/>
      <c r="I315" s="1239"/>
      <c r="J315" s="1239"/>
      <c r="K315" s="1239"/>
      <c r="L315" s="1239">
        <v>57540</v>
      </c>
      <c r="M315" s="1258">
        <f t="shared" si="57"/>
        <v>20000</v>
      </c>
      <c r="N315" s="1238">
        <v>10271</v>
      </c>
      <c r="O315" s="1238"/>
      <c r="P315" s="1242"/>
      <c r="Q315" s="1242"/>
      <c r="R315" s="1242"/>
      <c r="S315" s="1238"/>
      <c r="T315" s="1238">
        <v>6429</v>
      </c>
      <c r="U315" s="1238"/>
      <c r="V315" s="1242">
        <v>600</v>
      </c>
      <c r="W315" s="1242">
        <v>2000</v>
      </c>
      <c r="X315" s="1242">
        <v>450</v>
      </c>
      <c r="Y315" s="1238">
        <v>250</v>
      </c>
    </row>
    <row r="316" spans="1:25" s="1145" customFormat="1">
      <c r="B316" s="1158"/>
      <c r="C316" s="1154" t="s">
        <v>4</v>
      </c>
      <c r="D316" s="1437">
        <v>3</v>
      </c>
      <c r="E316" s="1167" t="s">
        <v>195</v>
      </c>
      <c r="F316" s="1258">
        <f t="shared" si="44"/>
        <v>179698</v>
      </c>
      <c r="G316" s="1258">
        <f t="shared" si="45"/>
        <v>0</v>
      </c>
      <c r="H316" s="1238"/>
      <c r="I316" s="1239"/>
      <c r="J316" s="1239"/>
      <c r="K316" s="1239"/>
      <c r="L316" s="1239"/>
      <c r="M316" s="1258">
        <f t="shared" si="57"/>
        <v>179698</v>
      </c>
      <c r="N316" s="1238">
        <v>55020</v>
      </c>
      <c r="O316" s="1238"/>
      <c r="P316" s="1242">
        <v>3778</v>
      </c>
      <c r="Q316" s="1242">
        <v>97500</v>
      </c>
      <c r="R316" s="1242"/>
      <c r="S316" s="1238">
        <v>13000</v>
      </c>
      <c r="T316" s="1238">
        <v>10400</v>
      </c>
      <c r="U316" s="1238"/>
      <c r="V316" s="1242"/>
      <c r="W316" s="1242"/>
      <c r="X316" s="1242"/>
      <c r="Y316" s="1238">
        <v>0</v>
      </c>
    </row>
    <row r="317" spans="1:25" s="1145" customFormat="1">
      <c r="B317" s="1158"/>
      <c r="C317" s="1154" t="s">
        <v>4</v>
      </c>
      <c r="D317" s="1437">
        <v>4</v>
      </c>
      <c r="E317" s="1170"/>
      <c r="F317" s="1258"/>
      <c r="G317" s="1258"/>
      <c r="H317" s="1238"/>
      <c r="I317" s="1239"/>
      <c r="J317" s="1239"/>
      <c r="K317" s="1239"/>
      <c r="L317" s="1239"/>
      <c r="M317" s="1258"/>
      <c r="N317" s="1238"/>
      <c r="O317" s="1238"/>
      <c r="P317" s="1242"/>
      <c r="Q317" s="1242"/>
      <c r="R317" s="1242"/>
      <c r="S317" s="1238"/>
      <c r="T317" s="1238"/>
      <c r="U317" s="1238"/>
      <c r="V317" s="1242"/>
      <c r="W317" s="1242"/>
      <c r="X317" s="1242"/>
      <c r="Y317" s="1238"/>
    </row>
    <row r="318" spans="1:25" s="1145" customFormat="1">
      <c r="B318" s="1158"/>
      <c r="C318" s="1154" t="s">
        <v>4</v>
      </c>
      <c r="D318" s="1437">
        <v>5</v>
      </c>
      <c r="E318" s="1167" t="s">
        <v>197</v>
      </c>
      <c r="F318" s="1258">
        <f t="shared" si="44"/>
        <v>6880</v>
      </c>
      <c r="G318" s="1258">
        <f t="shared" si="45"/>
        <v>0</v>
      </c>
      <c r="H318" s="1238"/>
      <c r="I318" s="1239"/>
      <c r="J318" s="1239"/>
      <c r="K318" s="1239"/>
      <c r="L318" s="1239"/>
      <c r="M318" s="1258">
        <f t="shared" si="57"/>
        <v>6880</v>
      </c>
      <c r="N318" s="1238">
        <v>0</v>
      </c>
      <c r="O318" s="1238"/>
      <c r="P318" s="1242"/>
      <c r="Q318" s="1242"/>
      <c r="R318" s="1242"/>
      <c r="S318" s="1238">
        <v>0</v>
      </c>
      <c r="T318" s="1238"/>
      <c r="U318" s="1238"/>
      <c r="V318" s="1242"/>
      <c r="W318" s="1242"/>
      <c r="X318" s="1242">
        <v>2400</v>
      </c>
      <c r="Y318" s="1238">
        <v>4480</v>
      </c>
    </row>
    <row r="319" spans="1:25" s="1145" customFormat="1" ht="24">
      <c r="B319" s="1158"/>
      <c r="C319" s="1154" t="s">
        <v>4</v>
      </c>
      <c r="D319" s="1437">
        <v>6</v>
      </c>
      <c r="E319" s="1167" t="s">
        <v>198</v>
      </c>
      <c r="F319" s="1258">
        <f t="shared" si="44"/>
        <v>44920</v>
      </c>
      <c r="G319" s="1258">
        <f t="shared" si="45"/>
        <v>28420</v>
      </c>
      <c r="H319" s="1238"/>
      <c r="I319" s="1239"/>
      <c r="J319" s="1239"/>
      <c r="K319" s="1239"/>
      <c r="L319" s="1239">
        <f>23750+4670</f>
        <v>28420</v>
      </c>
      <c r="M319" s="1258">
        <f t="shared" si="57"/>
        <v>16500</v>
      </c>
      <c r="N319" s="1238">
        <v>0</v>
      </c>
      <c r="O319" s="1238"/>
      <c r="P319" s="1242"/>
      <c r="Q319" s="1242">
        <v>16500</v>
      </c>
      <c r="R319" s="1242"/>
      <c r="S319" s="1238">
        <v>0</v>
      </c>
      <c r="T319" s="1238"/>
      <c r="U319" s="1238"/>
      <c r="V319" s="1242"/>
      <c r="W319" s="1242"/>
      <c r="X319" s="1242"/>
      <c r="Y319" s="1238">
        <v>0</v>
      </c>
    </row>
    <row r="320" spans="1:25" s="1145" customFormat="1" ht="24">
      <c r="B320" s="1158"/>
      <c r="C320" s="1154" t="s">
        <v>4</v>
      </c>
      <c r="D320" s="1437">
        <v>7</v>
      </c>
      <c r="E320" s="1167" t="s">
        <v>199</v>
      </c>
      <c r="F320" s="1258">
        <f t="shared" si="44"/>
        <v>0</v>
      </c>
      <c r="G320" s="1258">
        <f t="shared" si="45"/>
        <v>0</v>
      </c>
      <c r="H320" s="1238"/>
      <c r="I320" s="1239"/>
      <c r="J320" s="1239"/>
      <c r="K320" s="1239"/>
      <c r="L320" s="1239"/>
      <c r="M320" s="1258">
        <f t="shared" si="57"/>
        <v>0</v>
      </c>
      <c r="N320" s="1238">
        <v>0</v>
      </c>
      <c r="O320" s="1238"/>
      <c r="P320" s="1242"/>
      <c r="Q320" s="1242"/>
      <c r="R320" s="1242"/>
      <c r="S320" s="1238">
        <v>0</v>
      </c>
      <c r="T320" s="1238"/>
      <c r="U320" s="1238"/>
      <c r="V320" s="1242"/>
      <c r="W320" s="1242"/>
      <c r="X320" s="1242"/>
      <c r="Y320" s="1238">
        <v>0</v>
      </c>
    </row>
    <row r="321" spans="1:25" s="1145" customFormat="1" ht="36">
      <c r="B321" s="1158"/>
      <c r="C321" s="1154" t="s">
        <v>4</v>
      </c>
      <c r="D321" s="1437">
        <v>8</v>
      </c>
      <c r="E321" s="1167" t="s">
        <v>200</v>
      </c>
      <c r="F321" s="1258">
        <f t="shared" si="44"/>
        <v>0</v>
      </c>
      <c r="G321" s="1258">
        <f t="shared" si="45"/>
        <v>0</v>
      </c>
      <c r="H321" s="1238"/>
      <c r="I321" s="1239"/>
      <c r="J321" s="1239"/>
      <c r="K321" s="1239"/>
      <c r="L321" s="1239"/>
      <c r="M321" s="1258">
        <f t="shared" si="57"/>
        <v>0</v>
      </c>
      <c r="N321" s="1238">
        <v>0</v>
      </c>
      <c r="O321" s="1238"/>
      <c r="P321" s="1242"/>
      <c r="Q321" s="1242"/>
      <c r="R321" s="1242"/>
      <c r="S321" s="1238">
        <v>0</v>
      </c>
      <c r="T321" s="1238"/>
      <c r="U321" s="1238"/>
      <c r="V321" s="1242"/>
      <c r="W321" s="1242"/>
      <c r="X321" s="1242"/>
      <c r="Y321" s="1238">
        <v>0</v>
      </c>
    </row>
    <row r="322" spans="1:25" s="1145" customFormat="1">
      <c r="B322" s="1158"/>
      <c r="C322" s="1154" t="s">
        <v>4</v>
      </c>
      <c r="D322" s="1437">
        <v>9</v>
      </c>
      <c r="E322" s="1085" t="s">
        <v>290</v>
      </c>
      <c r="F322" s="1258">
        <f t="shared" si="44"/>
        <v>0</v>
      </c>
      <c r="G322" s="1258">
        <f t="shared" si="45"/>
        <v>0</v>
      </c>
      <c r="H322" s="1238"/>
      <c r="I322" s="1239"/>
      <c r="J322" s="1239"/>
      <c r="K322" s="1239"/>
      <c r="L322" s="1239"/>
      <c r="M322" s="1258">
        <f t="shared" si="57"/>
        <v>0</v>
      </c>
      <c r="N322" s="1238">
        <v>0</v>
      </c>
      <c r="O322" s="1238"/>
      <c r="P322" s="1242"/>
      <c r="Q322" s="1242"/>
      <c r="R322" s="1242"/>
      <c r="S322" s="1238">
        <v>0</v>
      </c>
      <c r="T322" s="1238"/>
      <c r="U322" s="1238"/>
      <c r="V322" s="1242"/>
      <c r="W322" s="1242"/>
      <c r="X322" s="1242"/>
      <c r="Y322" s="1238">
        <v>0</v>
      </c>
    </row>
    <row r="323" spans="1:25" s="1145" customFormat="1">
      <c r="B323" s="1158"/>
      <c r="C323" s="1154" t="s">
        <v>4</v>
      </c>
      <c r="D323" s="1437">
        <v>10</v>
      </c>
      <c r="E323" s="1085" t="s">
        <v>292</v>
      </c>
      <c r="F323" s="1258">
        <f t="shared" si="44"/>
        <v>0</v>
      </c>
      <c r="G323" s="1258">
        <f t="shared" si="45"/>
        <v>0</v>
      </c>
      <c r="H323" s="1238"/>
      <c r="I323" s="1239"/>
      <c r="J323" s="1239"/>
      <c r="K323" s="1239"/>
      <c r="L323" s="1239"/>
      <c r="M323" s="1258">
        <f t="shared" si="57"/>
        <v>0</v>
      </c>
      <c r="N323" s="1238">
        <v>0</v>
      </c>
      <c r="O323" s="1238"/>
      <c r="P323" s="1242"/>
      <c r="Q323" s="1242"/>
      <c r="R323" s="1242"/>
      <c r="S323" s="1238">
        <v>0</v>
      </c>
      <c r="T323" s="1238"/>
      <c r="U323" s="1238"/>
      <c r="V323" s="1242"/>
      <c r="W323" s="1242"/>
      <c r="X323" s="1242"/>
      <c r="Y323" s="1238">
        <v>0</v>
      </c>
    </row>
    <row r="324" spans="1:25" s="1145" customFormat="1">
      <c r="B324" s="1158"/>
      <c r="C324" s="1154" t="s">
        <v>4</v>
      </c>
      <c r="D324" s="1437">
        <v>11</v>
      </c>
      <c r="E324" s="1085" t="s">
        <v>291</v>
      </c>
      <c r="F324" s="1258">
        <f t="shared" si="44"/>
        <v>0</v>
      </c>
      <c r="G324" s="1258">
        <f t="shared" ref="G324:G383" si="62">SUM(H324:L324)</f>
        <v>0</v>
      </c>
      <c r="H324" s="1238"/>
      <c r="I324" s="1239"/>
      <c r="J324" s="1239"/>
      <c r="K324" s="1239"/>
      <c r="L324" s="1239"/>
      <c r="M324" s="1258">
        <f t="shared" ref="M324:M383" si="63">SUM(N324:Y324)</f>
        <v>0</v>
      </c>
      <c r="N324" s="1238">
        <v>0</v>
      </c>
      <c r="O324" s="1238"/>
      <c r="P324" s="1242"/>
      <c r="Q324" s="1242"/>
      <c r="R324" s="1242"/>
      <c r="S324" s="1238">
        <v>0</v>
      </c>
      <c r="T324" s="1238"/>
      <c r="U324" s="1238"/>
      <c r="V324" s="1242"/>
      <c r="W324" s="1242"/>
      <c r="X324" s="1242"/>
      <c r="Y324" s="1238">
        <v>0</v>
      </c>
    </row>
    <row r="325" spans="1:25" s="1075" customFormat="1" ht="36">
      <c r="A325" s="1075">
        <v>8</v>
      </c>
      <c r="B325" s="1171">
        <v>8</v>
      </c>
      <c r="C325" s="1172" t="s">
        <v>34</v>
      </c>
      <c r="D325" s="1438"/>
      <c r="E325" s="1286" t="s">
        <v>533</v>
      </c>
      <c r="F325" s="1232">
        <f t="shared" si="44"/>
        <v>1815705.04</v>
      </c>
      <c r="G325" s="1232">
        <f t="shared" si="62"/>
        <v>260150</v>
      </c>
      <c r="H325" s="1233">
        <f>SUM(H326:H352)</f>
        <v>260150</v>
      </c>
      <c r="I325" s="1234">
        <f t="shared" ref="I325:Y325" si="64">SUM(I326:I352)</f>
        <v>0</v>
      </c>
      <c r="J325" s="1234">
        <f t="shared" si="64"/>
        <v>0</v>
      </c>
      <c r="K325" s="1234">
        <f t="shared" si="64"/>
        <v>0</v>
      </c>
      <c r="L325" s="1234">
        <f t="shared" si="64"/>
        <v>0</v>
      </c>
      <c r="M325" s="1232">
        <f t="shared" si="63"/>
        <v>1555555.04</v>
      </c>
      <c r="N325" s="1233">
        <f t="shared" si="64"/>
        <v>229848</v>
      </c>
      <c r="O325" s="1233">
        <f t="shared" si="64"/>
        <v>62900</v>
      </c>
      <c r="P325" s="1233">
        <f t="shared" si="64"/>
        <v>143565</v>
      </c>
      <c r="Q325" s="1233">
        <f t="shared" si="64"/>
        <v>35600</v>
      </c>
      <c r="R325" s="1233">
        <f t="shared" si="64"/>
        <v>95136</v>
      </c>
      <c r="S325" s="1233">
        <f t="shared" si="64"/>
        <v>52040</v>
      </c>
      <c r="T325" s="1233">
        <f t="shared" si="64"/>
        <v>17875</v>
      </c>
      <c r="U325" s="1233">
        <f t="shared" si="64"/>
        <v>87264</v>
      </c>
      <c r="V325" s="1233">
        <f t="shared" si="64"/>
        <v>666967.04000000004</v>
      </c>
      <c r="W325" s="1233">
        <f t="shared" si="64"/>
        <v>66210</v>
      </c>
      <c r="X325" s="1233">
        <f t="shared" si="64"/>
        <v>62650</v>
      </c>
      <c r="Y325" s="1233">
        <f t="shared" si="64"/>
        <v>35500</v>
      </c>
    </row>
    <row r="326" spans="1:25" ht="24">
      <c r="B326" s="1134"/>
      <c r="C326" s="1173" t="s">
        <v>34</v>
      </c>
      <c r="D326" s="1439">
        <v>1</v>
      </c>
      <c r="E326" s="1102" t="s">
        <v>99</v>
      </c>
      <c r="F326" s="1232">
        <f t="shared" si="44"/>
        <v>21400</v>
      </c>
      <c r="G326" s="1232">
        <f t="shared" si="62"/>
        <v>21400</v>
      </c>
      <c r="H326" s="1238">
        <v>21400</v>
      </c>
      <c r="I326" s="1239"/>
      <c r="J326" s="1239"/>
      <c r="K326" s="1239"/>
      <c r="L326" s="1239"/>
      <c r="M326" s="1232">
        <f t="shared" si="63"/>
        <v>0</v>
      </c>
      <c r="N326" s="1240"/>
      <c r="O326" s="1244"/>
      <c r="P326" s="1244"/>
      <c r="Q326" s="1244"/>
      <c r="R326" s="1254"/>
      <c r="S326" s="1244"/>
      <c r="T326" s="1244"/>
      <c r="U326" s="1244"/>
      <c r="V326" s="1240"/>
      <c r="W326" s="1244"/>
      <c r="X326" s="1244"/>
      <c r="Y326" s="1240"/>
    </row>
    <row r="327" spans="1:25" ht="24">
      <c r="B327" s="1134"/>
      <c r="C327" s="1173" t="s">
        <v>34</v>
      </c>
      <c r="D327" s="1439">
        <v>2</v>
      </c>
      <c r="E327" s="1102" t="s">
        <v>621</v>
      </c>
      <c r="F327" s="1232">
        <f t="shared" si="44"/>
        <v>21400</v>
      </c>
      <c r="G327" s="1232">
        <f t="shared" si="62"/>
        <v>21400</v>
      </c>
      <c r="H327" s="1238">
        <v>21400</v>
      </c>
      <c r="I327" s="1239"/>
      <c r="J327" s="1239"/>
      <c r="K327" s="1239"/>
      <c r="L327" s="1239"/>
      <c r="M327" s="1232">
        <f t="shared" si="63"/>
        <v>0</v>
      </c>
      <c r="N327" s="1240"/>
      <c r="O327" s="1244"/>
      <c r="P327" s="1244"/>
      <c r="Q327" s="1244"/>
      <c r="R327" s="1254"/>
      <c r="S327" s="1244"/>
      <c r="T327" s="1244"/>
      <c r="U327" s="1244"/>
      <c r="V327" s="1251"/>
      <c r="W327" s="1244"/>
      <c r="X327" s="1244"/>
      <c r="Y327" s="1240"/>
    </row>
    <row r="328" spans="1:25" ht="36">
      <c r="B328" s="1134"/>
      <c r="C328" s="1173" t="s">
        <v>34</v>
      </c>
      <c r="D328" s="1439">
        <v>3</v>
      </c>
      <c r="E328" s="1102" t="s">
        <v>100</v>
      </c>
      <c r="F328" s="1232">
        <f t="shared" ref="F328:F383" si="65">G328+M328</f>
        <v>230520</v>
      </c>
      <c r="G328" s="1232">
        <f t="shared" si="62"/>
        <v>0</v>
      </c>
      <c r="H328" s="1238"/>
      <c r="I328" s="1239"/>
      <c r="J328" s="1239"/>
      <c r="K328" s="1239"/>
      <c r="L328" s="1239"/>
      <c r="M328" s="1232">
        <f t="shared" si="63"/>
        <v>230520</v>
      </c>
      <c r="N328" s="1240">
        <v>19200</v>
      </c>
      <c r="O328" s="1244">
        <v>18000</v>
      </c>
      <c r="P328" s="1244">
        <v>18000</v>
      </c>
      <c r="Q328" s="1244">
        <v>18000</v>
      </c>
      <c r="R328" s="1254">
        <v>16800</v>
      </c>
      <c r="S328" s="1244">
        <v>22720</v>
      </c>
      <c r="T328" s="1244"/>
      <c r="U328" s="1244">
        <v>9900</v>
      </c>
      <c r="V328" s="1251">
        <v>51200</v>
      </c>
      <c r="W328" s="1244">
        <v>32400</v>
      </c>
      <c r="X328" s="1244">
        <v>8100</v>
      </c>
      <c r="Y328" s="1238">
        <v>16200</v>
      </c>
    </row>
    <row r="329" spans="1:25" ht="60">
      <c r="B329" s="1134"/>
      <c r="C329" s="1173" t="s">
        <v>34</v>
      </c>
      <c r="D329" s="1439">
        <v>4</v>
      </c>
      <c r="E329" s="1102" t="s">
        <v>101</v>
      </c>
      <c r="F329" s="1232">
        <f t="shared" si="65"/>
        <v>251048</v>
      </c>
      <c r="G329" s="1232">
        <f t="shared" si="62"/>
        <v>49600</v>
      </c>
      <c r="H329" s="1238">
        <v>49600</v>
      </c>
      <c r="I329" s="1239"/>
      <c r="J329" s="1239"/>
      <c r="K329" s="1239"/>
      <c r="L329" s="1239"/>
      <c r="M329" s="1232">
        <f t="shared" si="63"/>
        <v>201448</v>
      </c>
      <c r="N329" s="1238">
        <v>176248</v>
      </c>
      <c r="O329" s="1244"/>
      <c r="P329" s="1254">
        <v>5200</v>
      </c>
      <c r="Q329" s="1244"/>
      <c r="R329" s="1254">
        <v>20000</v>
      </c>
      <c r="S329" s="1254"/>
      <c r="T329" s="1244"/>
      <c r="U329" s="1254"/>
      <c r="V329" s="1251"/>
      <c r="W329" s="1254"/>
      <c r="X329" s="1254"/>
      <c r="Y329" s="1238"/>
    </row>
    <row r="330" spans="1:25" ht="36">
      <c r="B330" s="1134"/>
      <c r="C330" s="1173" t="s">
        <v>34</v>
      </c>
      <c r="D330" s="1439">
        <v>5</v>
      </c>
      <c r="E330" s="1102" t="s">
        <v>622</v>
      </c>
      <c r="F330" s="1232">
        <f t="shared" si="65"/>
        <v>577805</v>
      </c>
      <c r="G330" s="1232">
        <f t="shared" si="62"/>
        <v>0</v>
      </c>
      <c r="H330" s="1238"/>
      <c r="I330" s="1239"/>
      <c r="J330" s="1239"/>
      <c r="K330" s="1239"/>
      <c r="L330" s="1239"/>
      <c r="M330" s="1232">
        <f t="shared" si="63"/>
        <v>577805</v>
      </c>
      <c r="N330" s="1238">
        <v>26300</v>
      </c>
      <c r="O330" s="1244">
        <v>29000</v>
      </c>
      <c r="P330" s="1254">
        <v>50000</v>
      </c>
      <c r="Q330" s="1244">
        <v>17600</v>
      </c>
      <c r="R330" s="1254">
        <v>19000</v>
      </c>
      <c r="S330" s="1254">
        <v>1000</v>
      </c>
      <c r="T330" s="1244">
        <v>13475</v>
      </c>
      <c r="U330" s="1254">
        <v>45160</v>
      </c>
      <c r="V330" s="1251">
        <v>342000</v>
      </c>
      <c r="W330" s="1254">
        <v>1290</v>
      </c>
      <c r="X330" s="1254">
        <v>16080</v>
      </c>
      <c r="Y330" s="1238">
        <v>16900</v>
      </c>
    </row>
    <row r="331" spans="1:25">
      <c r="B331" s="1134"/>
      <c r="C331" s="1173" t="s">
        <v>34</v>
      </c>
      <c r="D331" s="1439">
        <v>6</v>
      </c>
      <c r="E331" s="1102" t="s">
        <v>102</v>
      </c>
      <c r="F331" s="1232">
        <f t="shared" si="65"/>
        <v>5850</v>
      </c>
      <c r="G331" s="1232">
        <f t="shared" si="62"/>
        <v>0</v>
      </c>
      <c r="H331" s="1238"/>
      <c r="I331" s="1239"/>
      <c r="J331" s="1239"/>
      <c r="K331" s="1239"/>
      <c r="L331" s="1239"/>
      <c r="M331" s="1232">
        <f t="shared" si="63"/>
        <v>5850</v>
      </c>
      <c r="N331" s="1238"/>
      <c r="O331" s="1244"/>
      <c r="P331" s="1254"/>
      <c r="Q331" s="1254"/>
      <c r="R331" s="1254"/>
      <c r="S331" s="1254"/>
      <c r="T331" s="1244">
        <v>2250</v>
      </c>
      <c r="U331" s="1254"/>
      <c r="V331" s="1254"/>
      <c r="W331" s="1254">
        <v>3600</v>
      </c>
      <c r="X331" s="1254"/>
      <c r="Y331" s="1238"/>
    </row>
    <row r="332" spans="1:25" ht="24">
      <c r="B332" s="1134"/>
      <c r="C332" s="1173" t="s">
        <v>34</v>
      </c>
      <c r="D332" s="1439">
        <v>7</v>
      </c>
      <c r="E332" s="1102" t="s">
        <v>103</v>
      </c>
      <c r="F332" s="1232">
        <f t="shared" si="65"/>
        <v>19100</v>
      </c>
      <c r="G332" s="1232">
        <f t="shared" si="62"/>
        <v>0</v>
      </c>
      <c r="H332" s="1238"/>
      <c r="I332" s="1239"/>
      <c r="J332" s="1239"/>
      <c r="K332" s="1239"/>
      <c r="L332" s="1239"/>
      <c r="M332" s="1232">
        <f t="shared" si="63"/>
        <v>19100</v>
      </c>
      <c r="N332" s="1238"/>
      <c r="O332" s="1244">
        <v>5400</v>
      </c>
      <c r="P332" s="1254"/>
      <c r="Q332" s="1254"/>
      <c r="R332" s="1254">
        <v>2500</v>
      </c>
      <c r="S332" s="1254"/>
      <c r="T332" s="1244">
        <v>400</v>
      </c>
      <c r="U332" s="1244">
        <v>2520</v>
      </c>
      <c r="V332" s="1254"/>
      <c r="W332" s="1254">
        <v>5280</v>
      </c>
      <c r="X332" s="1254">
        <v>3000</v>
      </c>
      <c r="Y332" s="1238"/>
    </row>
    <row r="333" spans="1:25" ht="24">
      <c r="B333" s="1134"/>
      <c r="C333" s="1173" t="s">
        <v>34</v>
      </c>
      <c r="D333" s="1439">
        <v>8</v>
      </c>
      <c r="E333" s="1102" t="s">
        <v>104</v>
      </c>
      <c r="F333" s="1232">
        <f t="shared" si="65"/>
        <v>1750</v>
      </c>
      <c r="G333" s="1232">
        <f t="shared" si="62"/>
        <v>0</v>
      </c>
      <c r="H333" s="1238"/>
      <c r="I333" s="1239"/>
      <c r="J333" s="1239"/>
      <c r="K333" s="1239"/>
      <c r="L333" s="1239"/>
      <c r="M333" s="1232">
        <f t="shared" si="63"/>
        <v>1750</v>
      </c>
      <c r="N333" s="1238"/>
      <c r="O333" s="1244"/>
      <c r="P333" s="1254"/>
      <c r="Q333" s="1254"/>
      <c r="R333" s="1254"/>
      <c r="S333" s="1254"/>
      <c r="T333" s="1244">
        <v>1750</v>
      </c>
      <c r="U333" s="1254"/>
      <c r="V333" s="1254"/>
      <c r="W333" s="1254"/>
      <c r="X333" s="1254"/>
      <c r="Y333" s="1238"/>
    </row>
    <row r="334" spans="1:25" ht="24">
      <c r="B334" s="1134"/>
      <c r="C334" s="1173" t="s">
        <v>34</v>
      </c>
      <c r="D334" s="1439">
        <v>9</v>
      </c>
      <c r="E334" s="1174" t="s">
        <v>623</v>
      </c>
      <c r="F334" s="1232">
        <f t="shared" si="65"/>
        <v>0</v>
      </c>
      <c r="G334" s="1232">
        <f t="shared" si="62"/>
        <v>0</v>
      </c>
      <c r="H334" s="1238"/>
      <c r="I334" s="1239"/>
      <c r="J334" s="1239"/>
      <c r="K334" s="1239"/>
      <c r="L334" s="1239"/>
      <c r="M334" s="1232">
        <f t="shared" si="63"/>
        <v>0</v>
      </c>
      <c r="N334" s="1238"/>
      <c r="O334" s="1244"/>
      <c r="P334" s="1254"/>
      <c r="Q334" s="1254"/>
      <c r="R334" s="1254"/>
      <c r="S334" s="1254"/>
      <c r="T334" s="1244"/>
      <c r="U334" s="1254"/>
      <c r="V334" s="1254"/>
      <c r="W334" s="1254"/>
      <c r="X334" s="1254"/>
      <c r="Y334" s="1238"/>
    </row>
    <row r="335" spans="1:25" ht="60">
      <c r="B335" s="1134"/>
      <c r="C335" s="1173" t="s">
        <v>34</v>
      </c>
      <c r="D335" s="1439">
        <v>10</v>
      </c>
      <c r="E335" s="1102" t="s">
        <v>105</v>
      </c>
      <c r="F335" s="1232">
        <f t="shared" si="65"/>
        <v>6300</v>
      </c>
      <c r="G335" s="1232">
        <f t="shared" si="62"/>
        <v>0</v>
      </c>
      <c r="H335" s="1238"/>
      <c r="I335" s="1239"/>
      <c r="J335" s="1239"/>
      <c r="K335" s="1239"/>
      <c r="L335" s="1239"/>
      <c r="M335" s="1232">
        <f t="shared" si="63"/>
        <v>6300</v>
      </c>
      <c r="N335" s="1238">
        <v>3300</v>
      </c>
      <c r="O335" s="1244"/>
      <c r="P335" s="1254"/>
      <c r="Q335" s="1254"/>
      <c r="R335" s="1254"/>
      <c r="S335" s="1254"/>
      <c r="T335" s="1244"/>
      <c r="U335" s="1254"/>
      <c r="V335" s="1254"/>
      <c r="W335" s="1254"/>
      <c r="X335" s="1254">
        <v>3000</v>
      </c>
      <c r="Y335" s="1238"/>
    </row>
    <row r="336" spans="1:25" ht="24">
      <c r="B336" s="1134"/>
      <c r="C336" s="1173" t="s">
        <v>34</v>
      </c>
      <c r="D336" s="1439">
        <v>11</v>
      </c>
      <c r="E336" s="1102" t="s">
        <v>106</v>
      </c>
      <c r="F336" s="1232">
        <f t="shared" si="65"/>
        <v>27940</v>
      </c>
      <c r="G336" s="1232">
        <f t="shared" si="62"/>
        <v>0</v>
      </c>
      <c r="H336" s="1238"/>
      <c r="I336" s="1239"/>
      <c r="J336" s="1239"/>
      <c r="K336" s="1239"/>
      <c r="L336" s="1239"/>
      <c r="M336" s="1232">
        <f t="shared" si="63"/>
        <v>27940</v>
      </c>
      <c r="N336" s="1238"/>
      <c r="O336" s="1244">
        <v>6000</v>
      </c>
      <c r="P336" s="1254">
        <v>3400</v>
      </c>
      <c r="Q336" s="1254"/>
      <c r="R336" s="1254">
        <v>3500</v>
      </c>
      <c r="S336" s="1254">
        <v>3540</v>
      </c>
      <c r="T336" s="1244"/>
      <c r="U336" s="1244"/>
      <c r="V336" s="1254">
        <v>10600</v>
      </c>
      <c r="W336" s="1254"/>
      <c r="X336" s="1254">
        <v>900</v>
      </c>
      <c r="Y336" s="1238"/>
    </row>
    <row r="337" spans="2:25" ht="48">
      <c r="B337" s="1134"/>
      <c r="C337" s="1173" t="s">
        <v>34</v>
      </c>
      <c r="D337" s="1439">
        <v>12</v>
      </c>
      <c r="E337" s="1102" t="s">
        <v>107</v>
      </c>
      <c r="F337" s="1232">
        <f t="shared" si="65"/>
        <v>4800</v>
      </c>
      <c r="G337" s="1232">
        <f t="shared" si="62"/>
        <v>0</v>
      </c>
      <c r="H337" s="1238"/>
      <c r="I337" s="1239"/>
      <c r="J337" s="1239"/>
      <c r="K337" s="1239"/>
      <c r="L337" s="1239"/>
      <c r="M337" s="1232">
        <f t="shared" si="63"/>
        <v>4800</v>
      </c>
      <c r="N337" s="1240">
        <v>4800</v>
      </c>
      <c r="O337" s="1244"/>
      <c r="P337" s="1244"/>
      <c r="Q337" s="1244"/>
      <c r="R337" s="1254"/>
      <c r="S337" s="1244"/>
      <c r="T337" s="1244"/>
      <c r="U337" s="1244"/>
      <c r="V337" s="1244"/>
      <c r="W337" s="1244"/>
      <c r="X337" s="1244"/>
      <c r="Y337" s="1240"/>
    </row>
    <row r="338" spans="2:25" ht="48">
      <c r="B338" s="1134"/>
      <c r="C338" s="1173" t="s">
        <v>34</v>
      </c>
      <c r="D338" s="1439">
        <v>13</v>
      </c>
      <c r="E338" s="1114" t="s">
        <v>702</v>
      </c>
      <c r="F338" s="1232"/>
      <c r="G338" s="1232"/>
      <c r="H338" s="1238"/>
      <c r="I338" s="1239"/>
      <c r="J338" s="1239"/>
      <c r="K338" s="1239"/>
      <c r="L338" s="1239"/>
      <c r="M338" s="1232"/>
      <c r="N338" s="1240"/>
      <c r="O338" s="1244"/>
      <c r="P338" s="1244"/>
      <c r="Q338" s="1244"/>
      <c r="R338" s="1254"/>
      <c r="S338" s="1244"/>
      <c r="T338" s="1244"/>
      <c r="U338" s="1244"/>
      <c r="V338" s="1244"/>
      <c r="W338" s="1244"/>
      <c r="X338" s="1244"/>
      <c r="Y338" s="1240"/>
    </row>
    <row r="339" spans="2:25" ht="36">
      <c r="B339" s="1134"/>
      <c r="C339" s="1173" t="s">
        <v>34</v>
      </c>
      <c r="D339" s="1439">
        <v>14</v>
      </c>
      <c r="E339" s="1102" t="s">
        <v>109</v>
      </c>
      <c r="F339" s="1232">
        <f t="shared" si="65"/>
        <v>45000</v>
      </c>
      <c r="G339" s="1232">
        <f t="shared" si="62"/>
        <v>0</v>
      </c>
      <c r="H339" s="1238"/>
      <c r="I339" s="1239"/>
      <c r="J339" s="1239"/>
      <c r="K339" s="1239"/>
      <c r="L339" s="1239"/>
      <c r="M339" s="1232">
        <f t="shared" si="63"/>
        <v>45000</v>
      </c>
      <c r="N339" s="1240"/>
      <c r="O339" s="1244"/>
      <c r="P339" s="1244">
        <v>45000</v>
      </c>
      <c r="Q339" s="1244"/>
      <c r="R339" s="1254"/>
      <c r="S339" s="1244"/>
      <c r="T339" s="1244"/>
      <c r="U339" s="1244"/>
      <c r="V339" s="1244"/>
      <c r="W339" s="1244"/>
      <c r="X339" s="1244"/>
      <c r="Y339" s="1240"/>
    </row>
    <row r="340" spans="2:25" ht="24">
      <c r="B340" s="1134"/>
      <c r="C340" s="1173" t="s">
        <v>34</v>
      </c>
      <c r="D340" s="1439">
        <v>15</v>
      </c>
      <c r="E340" s="1102" t="s">
        <v>110</v>
      </c>
      <c r="F340" s="1232">
        <f t="shared" si="65"/>
        <v>25200</v>
      </c>
      <c r="G340" s="1232">
        <f t="shared" si="62"/>
        <v>25200</v>
      </c>
      <c r="H340" s="1238">
        <v>25200</v>
      </c>
      <c r="I340" s="1239"/>
      <c r="J340" s="1239"/>
      <c r="K340" s="1239"/>
      <c r="L340" s="1239"/>
      <c r="M340" s="1232">
        <f t="shared" si="63"/>
        <v>0</v>
      </c>
      <c r="N340" s="1240"/>
      <c r="O340" s="1244"/>
      <c r="P340" s="1244"/>
      <c r="Q340" s="1244"/>
      <c r="R340" s="1254"/>
      <c r="S340" s="1244"/>
      <c r="T340" s="1244"/>
      <c r="U340" s="1244"/>
      <c r="V340" s="1244"/>
      <c r="W340" s="1244"/>
      <c r="X340" s="1244"/>
      <c r="Y340" s="1240"/>
    </row>
    <row r="341" spans="2:25" ht="24">
      <c r="B341" s="1134"/>
      <c r="C341" s="1173" t="s">
        <v>34</v>
      </c>
      <c r="D341" s="1439">
        <v>16</v>
      </c>
      <c r="E341" s="1102" t="s">
        <v>111</v>
      </c>
      <c r="F341" s="1232">
        <f t="shared" si="65"/>
        <v>19200</v>
      </c>
      <c r="G341" s="1232">
        <f t="shared" si="62"/>
        <v>19200</v>
      </c>
      <c r="H341" s="1238">
        <v>19200</v>
      </c>
      <c r="I341" s="1239"/>
      <c r="J341" s="1239"/>
      <c r="K341" s="1239"/>
      <c r="L341" s="1239"/>
      <c r="M341" s="1232">
        <f t="shared" si="63"/>
        <v>0</v>
      </c>
      <c r="N341" s="1240"/>
      <c r="O341" s="1244"/>
      <c r="P341" s="1244"/>
      <c r="Q341" s="1244"/>
      <c r="R341" s="1254"/>
      <c r="S341" s="1244"/>
      <c r="T341" s="1244"/>
      <c r="U341" s="1244"/>
      <c r="V341" s="1244"/>
      <c r="W341" s="1244"/>
      <c r="X341" s="1244"/>
      <c r="Y341" s="1240"/>
    </row>
    <row r="342" spans="2:25" ht="24">
      <c r="B342" s="1134"/>
      <c r="C342" s="1173" t="s">
        <v>34</v>
      </c>
      <c r="D342" s="1439">
        <v>17</v>
      </c>
      <c r="E342" s="1102" t="s">
        <v>493</v>
      </c>
      <c r="F342" s="1232">
        <f t="shared" si="65"/>
        <v>105299</v>
      </c>
      <c r="G342" s="1232">
        <f t="shared" si="62"/>
        <v>0</v>
      </c>
      <c r="H342" s="1238"/>
      <c r="I342" s="1239"/>
      <c r="J342" s="1239"/>
      <c r="K342" s="1239"/>
      <c r="L342" s="1239"/>
      <c r="M342" s="1232">
        <f t="shared" si="63"/>
        <v>105299</v>
      </c>
      <c r="N342" s="1240"/>
      <c r="O342" s="1244"/>
      <c r="P342" s="1244">
        <v>21965</v>
      </c>
      <c r="Q342" s="1244"/>
      <c r="R342" s="1254">
        <v>26600</v>
      </c>
      <c r="S342" s="1244"/>
      <c r="T342" s="1244"/>
      <c r="U342" s="1244">
        <v>29684</v>
      </c>
      <c r="V342" s="1244"/>
      <c r="W342" s="1244">
        <v>23640</v>
      </c>
      <c r="X342" s="1244">
        <v>3410</v>
      </c>
      <c r="Y342" s="1240"/>
    </row>
    <row r="343" spans="2:25">
      <c r="B343" s="1134"/>
      <c r="C343" s="1173" t="s">
        <v>34</v>
      </c>
      <c r="D343" s="1439">
        <v>18</v>
      </c>
      <c r="E343" s="1113" t="s">
        <v>224</v>
      </c>
      <c r="F343" s="1232"/>
      <c r="G343" s="1232"/>
      <c r="H343" s="1238"/>
      <c r="I343" s="1239"/>
      <c r="J343" s="1239"/>
      <c r="K343" s="1239"/>
      <c r="L343" s="1239"/>
      <c r="M343" s="1232"/>
      <c r="N343" s="1240"/>
      <c r="O343" s="1244"/>
      <c r="P343" s="1244"/>
      <c r="Q343" s="1244"/>
      <c r="R343" s="1267"/>
      <c r="S343" s="1244"/>
      <c r="T343" s="1244"/>
      <c r="U343" s="1244"/>
      <c r="V343" s="1254"/>
      <c r="W343" s="1244"/>
      <c r="X343" s="1244"/>
      <c r="Y343" s="1240"/>
    </row>
    <row r="344" spans="2:25">
      <c r="B344" s="1134"/>
      <c r="C344" s="1173" t="s">
        <v>34</v>
      </c>
      <c r="D344" s="1439">
        <v>19</v>
      </c>
      <c r="E344" s="1113" t="s">
        <v>494</v>
      </c>
      <c r="F344" s="1232">
        <f t="shared" si="65"/>
        <v>58000</v>
      </c>
      <c r="G344" s="1232">
        <f t="shared" si="62"/>
        <v>0</v>
      </c>
      <c r="H344" s="1238"/>
      <c r="I344" s="1239"/>
      <c r="J344" s="1239"/>
      <c r="K344" s="1239"/>
      <c r="L344" s="1239"/>
      <c r="M344" s="1232">
        <f t="shared" si="63"/>
        <v>58000</v>
      </c>
      <c r="N344" s="1240"/>
      <c r="O344" s="1244"/>
      <c r="P344" s="1244"/>
      <c r="Q344" s="1244"/>
      <c r="R344" s="1267"/>
      <c r="S344" s="1244"/>
      <c r="T344" s="1244"/>
      <c r="U344" s="1244"/>
      <c r="V344" s="1254">
        <v>58000</v>
      </c>
      <c r="W344" s="1244"/>
      <c r="X344" s="1244"/>
      <c r="Y344" s="1240"/>
    </row>
    <row r="345" spans="2:25">
      <c r="B345" s="1134"/>
      <c r="C345" s="1173" t="s">
        <v>34</v>
      </c>
      <c r="D345" s="1439">
        <v>20</v>
      </c>
      <c r="E345" s="1113" t="s">
        <v>291</v>
      </c>
      <c r="F345" s="1232">
        <f t="shared" si="65"/>
        <v>79778</v>
      </c>
      <c r="G345" s="1232">
        <f t="shared" si="62"/>
        <v>0</v>
      </c>
      <c r="H345" s="1238"/>
      <c r="I345" s="1239"/>
      <c r="J345" s="1239"/>
      <c r="K345" s="1239"/>
      <c r="L345" s="1239"/>
      <c r="M345" s="1232">
        <f t="shared" si="63"/>
        <v>79778</v>
      </c>
      <c r="N345" s="1240"/>
      <c r="O345" s="1244"/>
      <c r="P345" s="1244"/>
      <c r="Q345" s="1244"/>
      <c r="R345" s="1267"/>
      <c r="S345" s="1244"/>
      <c r="T345" s="1244"/>
      <c r="U345" s="1244"/>
      <c r="V345" s="1254">
        <v>79778</v>
      </c>
      <c r="W345" s="1244"/>
      <c r="X345" s="1244"/>
      <c r="Y345" s="1240"/>
    </row>
    <row r="346" spans="2:25" ht="24">
      <c r="B346" s="1134"/>
      <c r="C346" s="1173" t="s">
        <v>34</v>
      </c>
      <c r="D346" s="1439">
        <v>21</v>
      </c>
      <c r="E346" s="1113" t="s">
        <v>112</v>
      </c>
      <c r="F346" s="1232">
        <f t="shared" si="65"/>
        <v>3340</v>
      </c>
      <c r="G346" s="1232">
        <f t="shared" si="62"/>
        <v>0</v>
      </c>
      <c r="H346" s="1238"/>
      <c r="I346" s="1239"/>
      <c r="J346" s="1239"/>
      <c r="K346" s="1239"/>
      <c r="L346" s="1239"/>
      <c r="M346" s="1232">
        <f t="shared" si="63"/>
        <v>3340</v>
      </c>
      <c r="N346" s="1238"/>
      <c r="O346" s="1244"/>
      <c r="P346" s="1254"/>
      <c r="Q346" s="1254"/>
      <c r="R346" s="1267"/>
      <c r="S346" s="1254">
        <v>3340</v>
      </c>
      <c r="T346" s="1244"/>
      <c r="U346" s="1254"/>
      <c r="V346" s="1254"/>
      <c r="W346" s="1254"/>
      <c r="X346" s="1254"/>
      <c r="Y346" s="1238"/>
    </row>
    <row r="347" spans="2:25">
      <c r="B347" s="1134"/>
      <c r="C347" s="1173" t="s">
        <v>34</v>
      </c>
      <c r="D347" s="1439">
        <v>22</v>
      </c>
      <c r="E347" s="1293" t="s">
        <v>495</v>
      </c>
      <c r="F347" s="1232">
        <f t="shared" si="65"/>
        <v>11286</v>
      </c>
      <c r="G347" s="1232">
        <f t="shared" si="62"/>
        <v>4550</v>
      </c>
      <c r="H347" s="1238">
        <v>4550</v>
      </c>
      <c r="I347" s="1239"/>
      <c r="J347" s="1239"/>
      <c r="K347" s="1239"/>
      <c r="L347" s="1239"/>
      <c r="M347" s="1232">
        <f t="shared" si="63"/>
        <v>6736</v>
      </c>
      <c r="N347" s="1238"/>
      <c r="O347" s="1238"/>
      <c r="P347" s="1238"/>
      <c r="Q347" s="1238"/>
      <c r="R347" s="1238">
        <v>6736</v>
      </c>
      <c r="S347" s="1238"/>
      <c r="T347" s="1238"/>
      <c r="U347" s="1238"/>
      <c r="V347" s="1238"/>
      <c r="W347" s="1238"/>
      <c r="X347" s="1238"/>
      <c r="Y347" s="1238"/>
    </row>
    <row r="348" spans="2:25">
      <c r="B348" s="1134"/>
      <c r="C348" s="1173" t="s">
        <v>34</v>
      </c>
      <c r="D348" s="1439">
        <v>23</v>
      </c>
      <c r="E348" s="1293" t="s">
        <v>496</v>
      </c>
      <c r="F348" s="1232">
        <f t="shared" si="65"/>
        <v>50000</v>
      </c>
      <c r="G348" s="1232">
        <f t="shared" si="62"/>
        <v>0</v>
      </c>
      <c r="H348" s="1238"/>
      <c r="I348" s="1239"/>
      <c r="J348" s="1239"/>
      <c r="K348" s="1239"/>
      <c r="L348" s="1239"/>
      <c r="M348" s="1232">
        <f t="shared" si="63"/>
        <v>50000</v>
      </c>
      <c r="N348" s="1238"/>
      <c r="O348" s="1238"/>
      <c r="P348" s="1238"/>
      <c r="Q348" s="1238"/>
      <c r="R348" s="1238"/>
      <c r="S348" s="1238"/>
      <c r="T348" s="1238"/>
      <c r="U348" s="1238"/>
      <c r="V348" s="1238">
        <v>50000</v>
      </c>
      <c r="W348" s="1238"/>
      <c r="X348" s="1238"/>
      <c r="Y348" s="1238"/>
    </row>
    <row r="349" spans="2:25">
      <c r="B349" s="1134"/>
      <c r="C349" s="1173" t="s">
        <v>34</v>
      </c>
      <c r="D349" s="1439">
        <v>24</v>
      </c>
      <c r="E349" s="1293" t="s">
        <v>497</v>
      </c>
      <c r="F349" s="1232">
        <f t="shared" si="65"/>
        <v>59600</v>
      </c>
      <c r="G349" s="1232">
        <f t="shared" si="62"/>
        <v>37200</v>
      </c>
      <c r="H349" s="1238">
        <v>37200</v>
      </c>
      <c r="I349" s="1239"/>
      <c r="J349" s="1239"/>
      <c r="K349" s="1239"/>
      <c r="L349" s="1239"/>
      <c r="M349" s="1232">
        <f t="shared" si="63"/>
        <v>22400</v>
      </c>
      <c r="N349" s="1238"/>
      <c r="O349" s="1238"/>
      <c r="P349" s="1238"/>
      <c r="Q349" s="1238"/>
      <c r="R349" s="1238"/>
      <c r="S349" s="1238"/>
      <c r="T349" s="1238"/>
      <c r="U349" s="1238"/>
      <c r="V349" s="1238"/>
      <c r="W349" s="1238"/>
      <c r="X349" s="1238">
        <v>22400</v>
      </c>
      <c r="Y349" s="1238"/>
    </row>
    <row r="350" spans="2:25">
      <c r="B350" s="1134"/>
      <c r="C350" s="1173" t="s">
        <v>34</v>
      </c>
      <c r="D350" s="1439">
        <v>25</v>
      </c>
      <c r="E350" s="1293" t="s">
        <v>498</v>
      </c>
      <c r="F350" s="1232">
        <f t="shared" si="65"/>
        <v>191089.03999999998</v>
      </c>
      <c r="G350" s="1232">
        <f t="shared" si="62"/>
        <v>81600</v>
      </c>
      <c r="H350" s="1238">
        <v>81600</v>
      </c>
      <c r="I350" s="1239"/>
      <c r="J350" s="1239"/>
      <c r="K350" s="1239"/>
      <c r="L350" s="1239"/>
      <c r="M350" s="1232">
        <f t="shared" si="63"/>
        <v>109489.04</v>
      </c>
      <c r="N350" s="1238"/>
      <c r="O350" s="1238">
        <v>4500</v>
      </c>
      <c r="P350" s="1238"/>
      <c r="Q350" s="1238"/>
      <c r="R350" s="1238"/>
      <c r="S350" s="1238">
        <f>4800+16640</f>
        <v>21440</v>
      </c>
      <c r="T350" s="1238"/>
      <c r="U350" s="1238"/>
      <c r="V350" s="1238">
        <v>75389.039999999994</v>
      </c>
      <c r="W350" s="1238"/>
      <c r="X350" s="1238">
        <v>5760</v>
      </c>
      <c r="Y350" s="1238">
        <v>2400</v>
      </c>
    </row>
    <row r="351" spans="2:25" ht="60">
      <c r="B351" s="1134"/>
      <c r="C351" s="1173" t="s">
        <v>34</v>
      </c>
      <c r="D351" s="1439">
        <v>26</v>
      </c>
      <c r="E351" s="1089" t="s">
        <v>703</v>
      </c>
      <c r="F351" s="1232"/>
      <c r="G351" s="1232"/>
      <c r="H351" s="1238"/>
      <c r="I351" s="1239"/>
      <c r="J351" s="1239"/>
      <c r="K351" s="1239"/>
      <c r="L351" s="1239"/>
      <c r="M351" s="1232"/>
      <c r="N351" s="1238"/>
      <c r="O351" s="1238"/>
      <c r="P351" s="1238"/>
      <c r="Q351" s="1238"/>
      <c r="R351" s="1238"/>
      <c r="S351" s="1238"/>
      <c r="T351" s="1238"/>
      <c r="U351" s="1238"/>
      <c r="V351" s="1238"/>
      <c r="W351" s="1238"/>
      <c r="X351" s="1238"/>
      <c r="Y351" s="1238"/>
    </row>
    <row r="352" spans="2:25" ht="36">
      <c r="B352" s="1134"/>
      <c r="C352" s="1173" t="s">
        <v>34</v>
      </c>
      <c r="D352" s="1439">
        <v>27</v>
      </c>
      <c r="E352" s="1089" t="s">
        <v>706</v>
      </c>
      <c r="F352" s="1232"/>
      <c r="G352" s="1232"/>
      <c r="H352" s="1238"/>
      <c r="I352" s="1239"/>
      <c r="J352" s="1239"/>
      <c r="K352" s="1239"/>
      <c r="L352" s="1239"/>
      <c r="M352" s="1232"/>
      <c r="N352" s="1238"/>
      <c r="O352" s="1238"/>
      <c r="P352" s="1238"/>
      <c r="Q352" s="1238"/>
      <c r="R352" s="1238"/>
      <c r="S352" s="1238"/>
      <c r="T352" s="1238"/>
      <c r="U352" s="1238"/>
      <c r="V352" s="1238"/>
      <c r="W352" s="1238"/>
      <c r="X352" s="1238"/>
      <c r="Y352" s="1238"/>
    </row>
    <row r="353" spans="1:25" s="1075" customFormat="1" ht="36">
      <c r="A353" s="1075">
        <v>9</v>
      </c>
      <c r="B353" s="1171">
        <v>9</v>
      </c>
      <c r="C353" s="1172" t="s">
        <v>34</v>
      </c>
      <c r="D353" s="1438"/>
      <c r="E353" s="1286" t="s">
        <v>27</v>
      </c>
      <c r="F353" s="1232">
        <f t="shared" si="65"/>
        <v>1210007</v>
      </c>
      <c r="G353" s="1232">
        <f t="shared" si="62"/>
        <v>285000</v>
      </c>
      <c r="H353" s="1233">
        <f>H354+H373</f>
        <v>285000</v>
      </c>
      <c r="I353" s="1233">
        <f t="shared" ref="I353:L353" si="66">I354+I373</f>
        <v>0</v>
      </c>
      <c r="J353" s="1233">
        <f t="shared" si="66"/>
        <v>0</v>
      </c>
      <c r="K353" s="1233">
        <f t="shared" si="66"/>
        <v>0</v>
      </c>
      <c r="L353" s="1233">
        <f t="shared" si="66"/>
        <v>0</v>
      </c>
      <c r="M353" s="1232">
        <f t="shared" si="63"/>
        <v>925007</v>
      </c>
      <c r="N353" s="1233">
        <f t="shared" ref="N353:Y353" si="67">N354+N373</f>
        <v>61700</v>
      </c>
      <c r="O353" s="1233">
        <f t="shared" si="67"/>
        <v>22000</v>
      </c>
      <c r="P353" s="1233">
        <f t="shared" si="67"/>
        <v>50200</v>
      </c>
      <c r="Q353" s="1233">
        <f t="shared" si="67"/>
        <v>20000</v>
      </c>
      <c r="R353" s="1233">
        <f t="shared" si="67"/>
        <v>55594</v>
      </c>
      <c r="S353" s="1233">
        <f t="shared" si="67"/>
        <v>71495</v>
      </c>
      <c r="T353" s="1233">
        <f t="shared" si="67"/>
        <v>164640</v>
      </c>
      <c r="U353" s="1233">
        <f t="shared" si="67"/>
        <v>136378</v>
      </c>
      <c r="V353" s="1233">
        <f t="shared" si="67"/>
        <v>142720</v>
      </c>
      <c r="W353" s="1233">
        <f t="shared" si="67"/>
        <v>84680</v>
      </c>
      <c r="X353" s="1233">
        <f t="shared" si="67"/>
        <v>76490</v>
      </c>
      <c r="Y353" s="1233">
        <f t="shared" si="67"/>
        <v>39110</v>
      </c>
    </row>
    <row r="354" spans="1:25" s="1175" customFormat="1" ht="24">
      <c r="A354" s="1175" t="s">
        <v>806</v>
      </c>
      <c r="B354" s="1176" t="s">
        <v>259</v>
      </c>
      <c r="C354" s="1172" t="s">
        <v>34</v>
      </c>
      <c r="D354" s="1438"/>
      <c r="E354" s="1177" t="s">
        <v>129</v>
      </c>
      <c r="F354" s="1232">
        <f t="shared" si="65"/>
        <v>988897</v>
      </c>
      <c r="G354" s="1232">
        <f t="shared" si="62"/>
        <v>146000</v>
      </c>
      <c r="H354" s="1267">
        <f>SUM(H355:H372)</f>
        <v>146000</v>
      </c>
      <c r="I354" s="1274">
        <f>SUM(I355:I372)</f>
        <v>0</v>
      </c>
      <c r="J354" s="1274">
        <f>SUM(J355:J372)</f>
        <v>0</v>
      </c>
      <c r="K354" s="1274">
        <f>SUM(K355:K372)</f>
        <v>0</v>
      </c>
      <c r="L354" s="1274">
        <f>SUM(L355:L372)</f>
        <v>0</v>
      </c>
      <c r="M354" s="1232">
        <f t="shared" si="63"/>
        <v>842897</v>
      </c>
      <c r="N354" s="1267">
        <f t="shared" ref="N354:Y354" si="68">SUM(N355:N372)</f>
        <v>51600</v>
      </c>
      <c r="O354" s="1267">
        <f t="shared" si="68"/>
        <v>19000</v>
      </c>
      <c r="P354" s="1267">
        <f t="shared" si="68"/>
        <v>47200</v>
      </c>
      <c r="Q354" s="1267">
        <f t="shared" si="68"/>
        <v>16500</v>
      </c>
      <c r="R354" s="1267">
        <f t="shared" si="68"/>
        <v>52094</v>
      </c>
      <c r="S354" s="1267">
        <f t="shared" si="68"/>
        <v>55865</v>
      </c>
      <c r="T354" s="1267">
        <f t="shared" si="68"/>
        <v>156340</v>
      </c>
      <c r="U354" s="1267">
        <f t="shared" si="68"/>
        <v>127178</v>
      </c>
      <c r="V354" s="1267">
        <f t="shared" si="68"/>
        <v>135960</v>
      </c>
      <c r="W354" s="1267">
        <f t="shared" si="68"/>
        <v>76960</v>
      </c>
      <c r="X354" s="1267">
        <f t="shared" si="68"/>
        <v>70990</v>
      </c>
      <c r="Y354" s="1267">
        <f t="shared" si="68"/>
        <v>33210</v>
      </c>
    </row>
    <row r="355" spans="1:25" s="1175" customFormat="1" ht="48">
      <c r="B355" s="1108"/>
      <c r="C355" s="1173" t="s">
        <v>34</v>
      </c>
      <c r="D355" s="1439">
        <v>1</v>
      </c>
      <c r="E355" s="1162" t="s">
        <v>704</v>
      </c>
      <c r="F355" s="1232"/>
      <c r="G355" s="1232"/>
      <c r="H355" s="1244"/>
      <c r="I355" s="1239"/>
      <c r="J355" s="1239"/>
      <c r="K355" s="1239"/>
      <c r="L355" s="1239"/>
      <c r="M355" s="1232"/>
      <c r="N355" s="1240"/>
      <c r="O355" s="1267"/>
      <c r="P355" s="1244"/>
      <c r="Q355" s="1244"/>
      <c r="R355" s="1254"/>
      <c r="S355" s="1244"/>
      <c r="T355" s="1245"/>
      <c r="U355" s="1244"/>
      <c r="V355" s="1240"/>
      <c r="W355" s="1244"/>
      <c r="X355" s="1244"/>
      <c r="Y355" s="1240"/>
    </row>
    <row r="356" spans="1:25" s="1175" customFormat="1" ht="24">
      <c r="B356" s="1108"/>
      <c r="C356" s="1173" t="s">
        <v>34</v>
      </c>
      <c r="D356" s="1439">
        <v>2</v>
      </c>
      <c r="E356" s="1113" t="s">
        <v>113</v>
      </c>
      <c r="F356" s="1232">
        <f t="shared" si="65"/>
        <v>52178</v>
      </c>
      <c r="G356" s="1232">
        <f t="shared" si="62"/>
        <v>0</v>
      </c>
      <c r="H356" s="1244"/>
      <c r="I356" s="1239"/>
      <c r="J356" s="1239"/>
      <c r="K356" s="1239"/>
      <c r="L356" s="1239"/>
      <c r="M356" s="1232">
        <f t="shared" si="63"/>
        <v>52178</v>
      </c>
      <c r="N356" s="1240">
        <v>1400</v>
      </c>
      <c r="O356" s="1244">
        <v>8000</v>
      </c>
      <c r="P356" s="1244"/>
      <c r="Q356" s="1244"/>
      <c r="R356" s="1254"/>
      <c r="S356" s="1244">
        <v>10630</v>
      </c>
      <c r="T356" s="1244"/>
      <c r="U356" s="1244">
        <v>29648</v>
      </c>
      <c r="V356" s="1240"/>
      <c r="W356" s="1244"/>
      <c r="X356" s="1244">
        <v>2500</v>
      </c>
      <c r="Y356" s="1240"/>
    </row>
    <row r="357" spans="1:25" s="1175" customFormat="1" ht="24">
      <c r="B357" s="1108"/>
      <c r="C357" s="1173" t="s">
        <v>34</v>
      </c>
      <c r="D357" s="1439">
        <v>3</v>
      </c>
      <c r="E357" s="1113" t="s">
        <v>117</v>
      </c>
      <c r="F357" s="1232">
        <f t="shared" si="65"/>
        <v>216800</v>
      </c>
      <c r="G357" s="1232">
        <f t="shared" si="62"/>
        <v>0</v>
      </c>
      <c r="H357" s="1244"/>
      <c r="I357" s="1239"/>
      <c r="J357" s="1239"/>
      <c r="K357" s="1239"/>
      <c r="L357" s="1239"/>
      <c r="M357" s="1232">
        <f t="shared" si="63"/>
        <v>216800</v>
      </c>
      <c r="N357" s="1240">
        <v>14400</v>
      </c>
      <c r="O357" s="1244"/>
      <c r="P357" s="1244"/>
      <c r="Q357" s="1244">
        <v>9000</v>
      </c>
      <c r="R357" s="1244">
        <v>14400</v>
      </c>
      <c r="S357" s="1244"/>
      <c r="T357" s="1244"/>
      <c r="U357" s="1244">
        <v>27900</v>
      </c>
      <c r="V357" s="1240">
        <v>81200</v>
      </c>
      <c r="W357" s="1244">
        <v>45000</v>
      </c>
      <c r="X357" s="1244">
        <v>16800</v>
      </c>
      <c r="Y357" s="1240">
        <v>8100</v>
      </c>
    </row>
    <row r="358" spans="1:25" s="1175" customFormat="1" ht="36">
      <c r="B358" s="1108"/>
      <c r="C358" s="1173" t="s">
        <v>34</v>
      </c>
      <c r="D358" s="1439">
        <v>4</v>
      </c>
      <c r="E358" s="1178" t="s">
        <v>118</v>
      </c>
      <c r="F358" s="1232"/>
      <c r="G358" s="1232"/>
      <c r="H358" s="1244"/>
      <c r="I358" s="1239"/>
      <c r="J358" s="1239"/>
      <c r="K358" s="1239"/>
      <c r="L358" s="1239"/>
      <c r="M358" s="1232"/>
      <c r="N358" s="1240"/>
      <c r="O358" s="1244"/>
      <c r="P358" s="1244"/>
      <c r="Q358" s="1244"/>
      <c r="R358" s="1254"/>
      <c r="S358" s="1244"/>
      <c r="T358" s="1244"/>
      <c r="U358" s="1244"/>
      <c r="V358" s="1240"/>
      <c r="W358" s="1244"/>
      <c r="X358" s="1244"/>
      <c r="Y358" s="1240"/>
    </row>
    <row r="359" spans="1:25" s="1175" customFormat="1" ht="36">
      <c r="B359" s="1108"/>
      <c r="C359" s="1173" t="s">
        <v>34</v>
      </c>
      <c r="D359" s="1439">
        <v>5</v>
      </c>
      <c r="E359" s="1178" t="s">
        <v>119</v>
      </c>
      <c r="F359" s="1232"/>
      <c r="G359" s="1232"/>
      <c r="H359" s="1244"/>
      <c r="I359" s="1239"/>
      <c r="J359" s="1239"/>
      <c r="K359" s="1239"/>
      <c r="L359" s="1239"/>
      <c r="M359" s="1232"/>
      <c r="N359" s="1240"/>
      <c r="O359" s="1244"/>
      <c r="P359" s="1244"/>
      <c r="Q359" s="1244"/>
      <c r="R359" s="1254"/>
      <c r="S359" s="1244"/>
      <c r="T359" s="1244"/>
      <c r="U359" s="1244"/>
      <c r="V359" s="1240"/>
      <c r="W359" s="1244"/>
      <c r="X359" s="1244"/>
      <c r="Y359" s="1240"/>
    </row>
    <row r="360" spans="1:25" s="1175" customFormat="1" ht="24">
      <c r="B360" s="1108"/>
      <c r="C360" s="1173" t="s">
        <v>34</v>
      </c>
      <c r="D360" s="1439">
        <v>6</v>
      </c>
      <c r="E360" s="1178" t="s">
        <v>120</v>
      </c>
      <c r="F360" s="1232"/>
      <c r="G360" s="1232"/>
      <c r="H360" s="1244"/>
      <c r="I360" s="1239"/>
      <c r="J360" s="1239"/>
      <c r="K360" s="1239"/>
      <c r="L360" s="1239"/>
      <c r="M360" s="1232"/>
      <c r="N360" s="1240"/>
      <c r="O360" s="1244"/>
      <c r="P360" s="1244"/>
      <c r="Q360" s="1244"/>
      <c r="R360" s="1254"/>
      <c r="S360" s="1244"/>
      <c r="T360" s="1244"/>
      <c r="U360" s="1244"/>
      <c r="V360" s="1240"/>
      <c r="W360" s="1244"/>
      <c r="X360" s="1244"/>
      <c r="Y360" s="1240"/>
    </row>
    <row r="361" spans="1:25" s="1175" customFormat="1">
      <c r="B361" s="1108"/>
      <c r="C361" s="1173" t="s">
        <v>34</v>
      </c>
      <c r="D361" s="1439">
        <v>7</v>
      </c>
      <c r="E361" s="1114" t="s">
        <v>707</v>
      </c>
      <c r="F361" s="1232"/>
      <c r="G361" s="1232"/>
      <c r="H361" s="1244"/>
      <c r="I361" s="1239"/>
      <c r="J361" s="1239"/>
      <c r="K361" s="1239"/>
      <c r="L361" s="1239"/>
      <c r="M361" s="1232"/>
      <c r="N361" s="1240"/>
      <c r="O361" s="1244"/>
      <c r="P361" s="1244"/>
      <c r="Q361" s="1244"/>
      <c r="R361" s="1254"/>
      <c r="S361" s="1244"/>
      <c r="T361" s="1244"/>
      <c r="U361" s="1244"/>
      <c r="V361" s="1240"/>
      <c r="W361" s="1244"/>
      <c r="X361" s="1244"/>
      <c r="Y361" s="1240"/>
    </row>
    <row r="362" spans="1:25" s="1175" customFormat="1" ht="60">
      <c r="B362" s="1108"/>
      <c r="C362" s="1173" t="s">
        <v>34</v>
      </c>
      <c r="D362" s="1439">
        <v>8</v>
      </c>
      <c r="E362" s="1113" t="s">
        <v>122</v>
      </c>
      <c r="F362" s="1232">
        <f t="shared" si="65"/>
        <v>17880</v>
      </c>
      <c r="G362" s="1232">
        <f t="shared" si="62"/>
        <v>0</v>
      </c>
      <c r="H362" s="1244"/>
      <c r="I362" s="1239"/>
      <c r="J362" s="1239"/>
      <c r="K362" s="1239"/>
      <c r="L362" s="1239"/>
      <c r="M362" s="1232">
        <f t="shared" si="63"/>
        <v>17880</v>
      </c>
      <c r="N362" s="1240">
        <v>0</v>
      </c>
      <c r="O362" s="1244"/>
      <c r="P362" s="1244"/>
      <c r="Q362" s="1244"/>
      <c r="R362" s="1254"/>
      <c r="S362" s="1244">
        <v>7200</v>
      </c>
      <c r="T362" s="1244"/>
      <c r="U362" s="1244">
        <v>5280</v>
      </c>
      <c r="V362" s="1240">
        <v>0</v>
      </c>
      <c r="W362" s="1244">
        <v>0</v>
      </c>
      <c r="X362" s="1244">
        <v>5400</v>
      </c>
      <c r="Y362" s="1240"/>
    </row>
    <row r="363" spans="1:25" s="1175" customFormat="1" ht="36">
      <c r="B363" s="1108"/>
      <c r="C363" s="1173" t="s">
        <v>34</v>
      </c>
      <c r="D363" s="1439">
        <v>9</v>
      </c>
      <c r="E363" s="1116" t="s">
        <v>407</v>
      </c>
      <c r="F363" s="1232"/>
      <c r="G363" s="1232"/>
      <c r="H363" s="1244"/>
      <c r="I363" s="1239"/>
      <c r="J363" s="1239"/>
      <c r="K363" s="1239"/>
      <c r="L363" s="1239"/>
      <c r="M363" s="1232"/>
      <c r="N363" s="1240"/>
      <c r="O363" s="1244"/>
      <c r="P363" s="1244"/>
      <c r="Q363" s="1244"/>
      <c r="R363" s="1254"/>
      <c r="S363" s="1244"/>
      <c r="T363" s="1244"/>
      <c r="U363" s="1244"/>
      <c r="V363" s="1240"/>
      <c r="W363" s="1244"/>
      <c r="X363" s="1244"/>
      <c r="Y363" s="1240"/>
    </row>
    <row r="364" spans="1:25" s="1175" customFormat="1">
      <c r="B364" s="1108"/>
      <c r="C364" s="1173" t="s">
        <v>34</v>
      </c>
      <c r="D364" s="1439">
        <v>10</v>
      </c>
      <c r="E364" s="1288" t="s">
        <v>123</v>
      </c>
      <c r="F364" s="1232">
        <f t="shared" si="65"/>
        <v>116644</v>
      </c>
      <c r="G364" s="1232">
        <f t="shared" si="62"/>
        <v>20000</v>
      </c>
      <c r="H364" s="1244">
        <v>20000</v>
      </c>
      <c r="I364" s="1239"/>
      <c r="J364" s="1239"/>
      <c r="K364" s="1239"/>
      <c r="L364" s="1239"/>
      <c r="M364" s="1232">
        <f t="shared" si="63"/>
        <v>96644</v>
      </c>
      <c r="N364" s="1240">
        <v>3800</v>
      </c>
      <c r="O364" s="1244"/>
      <c r="P364" s="1244"/>
      <c r="Q364" s="1244"/>
      <c r="R364" s="1244">
        <v>32694</v>
      </c>
      <c r="S364" s="1244">
        <v>5900</v>
      </c>
      <c r="T364" s="1244">
        <v>30240</v>
      </c>
      <c r="U364" s="1244"/>
      <c r="V364" s="1240">
        <v>2760</v>
      </c>
      <c r="W364" s="1244">
        <v>5960</v>
      </c>
      <c r="X364" s="1244">
        <v>6690</v>
      </c>
      <c r="Y364" s="1240">
        <v>8600</v>
      </c>
    </row>
    <row r="365" spans="1:25" s="1175" customFormat="1">
      <c r="B365" s="1108"/>
      <c r="C365" s="1173" t="s">
        <v>34</v>
      </c>
      <c r="D365" s="1439">
        <v>11</v>
      </c>
      <c r="E365" s="1288" t="s">
        <v>124</v>
      </c>
      <c r="F365" s="1232">
        <f t="shared" si="65"/>
        <v>348910</v>
      </c>
      <c r="G365" s="1232">
        <f t="shared" si="62"/>
        <v>0</v>
      </c>
      <c r="H365" s="1244"/>
      <c r="I365" s="1239"/>
      <c r="J365" s="1239"/>
      <c r="K365" s="1239"/>
      <c r="L365" s="1239"/>
      <c r="M365" s="1232">
        <f t="shared" si="63"/>
        <v>348910</v>
      </c>
      <c r="N365" s="1240">
        <v>16000</v>
      </c>
      <c r="O365" s="1244">
        <v>11000</v>
      </c>
      <c r="P365" s="1244">
        <v>40000</v>
      </c>
      <c r="Q365" s="1244">
        <v>7500</v>
      </c>
      <c r="R365" s="1254"/>
      <c r="S365" s="1244">
        <v>30000</v>
      </c>
      <c r="T365" s="1244">
        <v>100000</v>
      </c>
      <c r="U365" s="1244">
        <v>56500</v>
      </c>
      <c r="V365" s="1240">
        <v>32000</v>
      </c>
      <c r="W365" s="1244">
        <v>16000</v>
      </c>
      <c r="X365" s="1244">
        <v>23400</v>
      </c>
      <c r="Y365" s="1240">
        <v>16510</v>
      </c>
    </row>
    <row r="366" spans="1:25" s="1175" customFormat="1" ht="48">
      <c r="B366" s="1108"/>
      <c r="C366" s="1173" t="s">
        <v>34</v>
      </c>
      <c r="D366" s="1439">
        <v>12</v>
      </c>
      <c r="E366" s="1113" t="s">
        <v>408</v>
      </c>
      <c r="F366" s="1232">
        <f t="shared" si="65"/>
        <v>106000</v>
      </c>
      <c r="G366" s="1232">
        <f t="shared" si="62"/>
        <v>106000</v>
      </c>
      <c r="H366" s="1244">
        <v>106000</v>
      </c>
      <c r="I366" s="1239"/>
      <c r="J366" s="1239"/>
      <c r="K366" s="1239"/>
      <c r="L366" s="1239"/>
      <c r="M366" s="1232">
        <f t="shared" si="63"/>
        <v>0</v>
      </c>
      <c r="N366" s="1240"/>
      <c r="O366" s="1244">
        <v>0</v>
      </c>
      <c r="P366" s="1244">
        <v>0</v>
      </c>
      <c r="Q366" s="1244">
        <v>0</v>
      </c>
      <c r="R366" s="1254">
        <v>0</v>
      </c>
      <c r="S366" s="1244">
        <v>0</v>
      </c>
      <c r="T366" s="1244">
        <v>0</v>
      </c>
      <c r="U366" s="1244">
        <v>0</v>
      </c>
      <c r="V366" s="1240">
        <v>0</v>
      </c>
      <c r="W366" s="1244">
        <v>0</v>
      </c>
      <c r="X366" s="1244">
        <v>0</v>
      </c>
      <c r="Y366" s="1240">
        <v>0</v>
      </c>
    </row>
    <row r="367" spans="1:25" s="1175" customFormat="1" ht="36">
      <c r="B367" s="1108"/>
      <c r="C367" s="1173" t="s">
        <v>34</v>
      </c>
      <c r="D367" s="1439">
        <v>13</v>
      </c>
      <c r="E367" s="1113" t="s">
        <v>409</v>
      </c>
      <c r="F367" s="1232">
        <f t="shared" si="65"/>
        <v>44300</v>
      </c>
      <c r="G367" s="1232">
        <f t="shared" si="62"/>
        <v>20000</v>
      </c>
      <c r="H367" s="1244">
        <v>20000</v>
      </c>
      <c r="I367" s="1239"/>
      <c r="J367" s="1239"/>
      <c r="K367" s="1239"/>
      <c r="L367" s="1239"/>
      <c r="M367" s="1232">
        <f t="shared" si="63"/>
        <v>24300</v>
      </c>
      <c r="N367" s="1240">
        <v>0</v>
      </c>
      <c r="O367" s="1244"/>
      <c r="P367" s="1244">
        <v>7200</v>
      </c>
      <c r="Q367" s="1244"/>
      <c r="R367" s="1254"/>
      <c r="S367" s="1244"/>
      <c r="T367" s="1244">
        <v>17100</v>
      </c>
      <c r="U367" s="1244"/>
      <c r="V367" s="1240">
        <v>0</v>
      </c>
      <c r="W367" s="1244">
        <v>0</v>
      </c>
      <c r="X367" s="1245"/>
      <c r="Y367" s="1240"/>
    </row>
    <row r="368" spans="1:25" s="1175" customFormat="1" ht="24">
      <c r="B368" s="1108"/>
      <c r="C368" s="1173" t="s">
        <v>34</v>
      </c>
      <c r="D368" s="1439">
        <v>14</v>
      </c>
      <c r="E368" s="1112" t="s">
        <v>215</v>
      </c>
      <c r="F368" s="1232">
        <f t="shared" si="65"/>
        <v>81485</v>
      </c>
      <c r="G368" s="1232">
        <f t="shared" si="62"/>
        <v>0</v>
      </c>
      <c r="H368" s="1244"/>
      <c r="I368" s="1239"/>
      <c r="J368" s="1239"/>
      <c r="K368" s="1239"/>
      <c r="L368" s="1239"/>
      <c r="M368" s="1232">
        <f t="shared" si="63"/>
        <v>81485</v>
      </c>
      <c r="N368" s="1240">
        <v>16000</v>
      </c>
      <c r="O368" s="1244"/>
      <c r="P368" s="1244"/>
      <c r="Q368" s="1244"/>
      <c r="R368" s="1244">
        <v>5000</v>
      </c>
      <c r="S368" s="1244">
        <v>2135</v>
      </c>
      <c r="T368" s="1244">
        <v>9000</v>
      </c>
      <c r="U368" s="1244">
        <v>7850</v>
      </c>
      <c r="V368" s="1240">
        <v>20000</v>
      </c>
      <c r="W368" s="1244">
        <v>10000</v>
      </c>
      <c r="X368" s="1244">
        <v>11500</v>
      </c>
      <c r="Y368" s="1240"/>
    </row>
    <row r="369" spans="1:25" s="1175" customFormat="1" ht="60">
      <c r="B369" s="1108"/>
      <c r="C369" s="1173" t="s">
        <v>34</v>
      </c>
      <c r="D369" s="1439">
        <v>15</v>
      </c>
      <c r="E369" s="1114" t="s">
        <v>708</v>
      </c>
      <c r="F369" s="1232"/>
      <c r="G369" s="1232"/>
      <c r="H369" s="1244"/>
      <c r="I369" s="1239"/>
      <c r="J369" s="1239"/>
      <c r="K369" s="1239"/>
      <c r="L369" s="1239"/>
      <c r="M369" s="1232"/>
      <c r="N369" s="1240"/>
      <c r="O369" s="1244"/>
      <c r="P369" s="1244"/>
      <c r="Q369" s="1244"/>
      <c r="R369" s="1244"/>
      <c r="S369" s="1244"/>
      <c r="T369" s="1244"/>
      <c r="U369" s="1244"/>
      <c r="V369" s="1240"/>
      <c r="W369" s="1244"/>
      <c r="X369" s="1244"/>
      <c r="Y369" s="1240"/>
    </row>
    <row r="370" spans="1:25" s="1175" customFormat="1" ht="36">
      <c r="B370" s="1108"/>
      <c r="C370" s="1173" t="s">
        <v>34</v>
      </c>
      <c r="D370" s="1439">
        <v>16</v>
      </c>
      <c r="E370" s="1086" t="s">
        <v>709</v>
      </c>
      <c r="F370" s="1232"/>
      <c r="G370" s="1232"/>
      <c r="H370" s="1244"/>
      <c r="I370" s="1239"/>
      <c r="J370" s="1239"/>
      <c r="K370" s="1239"/>
      <c r="L370" s="1239"/>
      <c r="M370" s="1232"/>
      <c r="N370" s="1240"/>
      <c r="O370" s="1244"/>
      <c r="P370" s="1244"/>
      <c r="Q370" s="1244"/>
      <c r="R370" s="1244"/>
      <c r="S370" s="1244"/>
      <c r="T370" s="1244"/>
      <c r="U370" s="1244"/>
      <c r="V370" s="1240"/>
      <c r="W370" s="1244"/>
      <c r="X370" s="1244"/>
      <c r="Y370" s="1240"/>
    </row>
    <row r="371" spans="1:25" s="1175" customFormat="1">
      <c r="B371" s="1108"/>
      <c r="C371" s="1173" t="s">
        <v>34</v>
      </c>
      <c r="D371" s="1439">
        <v>17</v>
      </c>
      <c r="E371" s="1087" t="s">
        <v>292</v>
      </c>
      <c r="F371" s="1232">
        <f t="shared" si="65"/>
        <v>4000</v>
      </c>
      <c r="G371" s="1232">
        <f t="shared" si="62"/>
        <v>0</v>
      </c>
      <c r="H371" s="1244"/>
      <c r="I371" s="1239"/>
      <c r="J371" s="1239"/>
      <c r="K371" s="1239"/>
      <c r="L371" s="1239"/>
      <c r="M371" s="1232">
        <f t="shared" si="63"/>
        <v>4000</v>
      </c>
      <c r="N371" s="1240"/>
      <c r="O371" s="1244"/>
      <c r="P371" s="1244"/>
      <c r="Q371" s="1244"/>
      <c r="R371" s="1244"/>
      <c r="S371" s="1244"/>
      <c r="T371" s="1244"/>
      <c r="U371" s="1244"/>
      <c r="V371" s="1240">
        <v>0</v>
      </c>
      <c r="W371" s="1244"/>
      <c r="X371" s="1244">
        <v>4000</v>
      </c>
      <c r="Y371" s="1240"/>
    </row>
    <row r="372" spans="1:25" s="1175" customFormat="1">
      <c r="B372" s="1108"/>
      <c r="C372" s="1173" t="s">
        <v>34</v>
      </c>
      <c r="D372" s="1439">
        <v>18</v>
      </c>
      <c r="E372" s="1087" t="s">
        <v>291</v>
      </c>
      <c r="F372" s="1232">
        <f t="shared" si="65"/>
        <v>700</v>
      </c>
      <c r="G372" s="1232">
        <f t="shared" si="62"/>
        <v>0</v>
      </c>
      <c r="H372" s="1244"/>
      <c r="I372" s="1239"/>
      <c r="J372" s="1239"/>
      <c r="K372" s="1239"/>
      <c r="L372" s="1239"/>
      <c r="M372" s="1232">
        <f t="shared" si="63"/>
        <v>700</v>
      </c>
      <c r="N372" s="1240"/>
      <c r="O372" s="1244"/>
      <c r="P372" s="1244"/>
      <c r="Q372" s="1244"/>
      <c r="R372" s="1244"/>
      <c r="S372" s="1244"/>
      <c r="T372" s="1244"/>
      <c r="U372" s="1244"/>
      <c r="V372" s="1240">
        <v>0</v>
      </c>
      <c r="W372" s="1244"/>
      <c r="X372" s="1244">
        <v>700</v>
      </c>
      <c r="Y372" s="1240"/>
    </row>
    <row r="373" spans="1:25" s="1175" customFormat="1" ht="24">
      <c r="A373" s="1175" t="s">
        <v>807</v>
      </c>
      <c r="B373" s="1179" t="s">
        <v>260</v>
      </c>
      <c r="C373" s="1172" t="s">
        <v>34</v>
      </c>
      <c r="D373" s="1438"/>
      <c r="E373" s="1180" t="s">
        <v>130</v>
      </c>
      <c r="F373" s="1232">
        <f t="shared" si="65"/>
        <v>221110</v>
      </c>
      <c r="G373" s="1232">
        <f t="shared" si="62"/>
        <v>139000</v>
      </c>
      <c r="H373" s="1275">
        <f>SUM(H374:H378)</f>
        <v>139000</v>
      </c>
      <c r="I373" s="1276">
        <f t="shared" ref="I373:Y373" si="69">SUM(I374:I378)</f>
        <v>0</v>
      </c>
      <c r="J373" s="1276">
        <f t="shared" si="69"/>
        <v>0</v>
      </c>
      <c r="K373" s="1276">
        <f t="shared" si="69"/>
        <v>0</v>
      </c>
      <c r="L373" s="1276">
        <f t="shared" si="69"/>
        <v>0</v>
      </c>
      <c r="M373" s="1232">
        <f t="shared" si="63"/>
        <v>82110</v>
      </c>
      <c r="N373" s="1275">
        <f t="shared" si="69"/>
        <v>10100</v>
      </c>
      <c r="O373" s="1275">
        <f t="shared" si="69"/>
        <v>3000</v>
      </c>
      <c r="P373" s="1275">
        <f t="shared" si="69"/>
        <v>3000</v>
      </c>
      <c r="Q373" s="1275">
        <f t="shared" si="69"/>
        <v>3500</v>
      </c>
      <c r="R373" s="1275">
        <f t="shared" si="69"/>
        <v>3500</v>
      </c>
      <c r="S373" s="1275">
        <f t="shared" si="69"/>
        <v>15630</v>
      </c>
      <c r="T373" s="1275">
        <f t="shared" si="69"/>
        <v>8300</v>
      </c>
      <c r="U373" s="1275">
        <f t="shared" si="69"/>
        <v>9200</v>
      </c>
      <c r="V373" s="1275">
        <f t="shared" si="69"/>
        <v>6760</v>
      </c>
      <c r="W373" s="1275">
        <f t="shared" si="69"/>
        <v>7720</v>
      </c>
      <c r="X373" s="1275">
        <f t="shared" si="69"/>
        <v>5500</v>
      </c>
      <c r="Y373" s="1275">
        <f t="shared" si="69"/>
        <v>5900</v>
      </c>
    </row>
    <row r="374" spans="1:25" s="1175" customFormat="1" ht="36">
      <c r="B374" s="1108"/>
      <c r="C374" s="1173" t="s">
        <v>34</v>
      </c>
      <c r="D374" s="1439">
        <v>1</v>
      </c>
      <c r="E374" s="1181" t="s">
        <v>125</v>
      </c>
      <c r="F374" s="1232">
        <f t="shared" si="65"/>
        <v>119000</v>
      </c>
      <c r="G374" s="1232">
        <f t="shared" si="62"/>
        <v>119000</v>
      </c>
      <c r="H374" s="1244">
        <v>119000</v>
      </c>
      <c r="I374" s="1239"/>
      <c r="J374" s="1239"/>
      <c r="K374" s="1239"/>
      <c r="L374" s="1239"/>
      <c r="M374" s="1232">
        <f t="shared" si="63"/>
        <v>0</v>
      </c>
      <c r="N374" s="1240"/>
      <c r="O374" s="1244"/>
      <c r="P374" s="1238"/>
      <c r="Q374" s="1244"/>
      <c r="R374" s="1254"/>
      <c r="S374" s="1244"/>
      <c r="T374" s="1244"/>
      <c r="U374" s="1244"/>
      <c r="V374" s="1240"/>
      <c r="W374" s="1244"/>
      <c r="X374" s="1244"/>
      <c r="Y374" s="1240"/>
    </row>
    <row r="375" spans="1:25" s="1175" customFormat="1" ht="24">
      <c r="B375" s="1108"/>
      <c r="C375" s="1173" t="s">
        <v>34</v>
      </c>
      <c r="D375" s="1439">
        <v>2</v>
      </c>
      <c r="E375" s="1182" t="s">
        <v>126</v>
      </c>
      <c r="F375" s="1232"/>
      <c r="G375" s="1232"/>
      <c r="H375" s="1244"/>
      <c r="I375" s="1239"/>
      <c r="J375" s="1239"/>
      <c r="K375" s="1239"/>
      <c r="L375" s="1239"/>
      <c r="M375" s="1232"/>
      <c r="N375" s="1240"/>
      <c r="O375" s="1244"/>
      <c r="P375" s="1238"/>
      <c r="Q375" s="1244"/>
      <c r="R375" s="1254"/>
      <c r="S375" s="1244"/>
      <c r="T375" s="1244"/>
      <c r="U375" s="1244"/>
      <c r="V375" s="1240"/>
      <c r="W375" s="1244"/>
      <c r="X375" s="1244"/>
      <c r="Y375" s="1240"/>
    </row>
    <row r="376" spans="1:25" s="1175" customFormat="1" ht="24">
      <c r="B376" s="1108"/>
      <c r="C376" s="1173" t="s">
        <v>34</v>
      </c>
      <c r="D376" s="1439">
        <v>3</v>
      </c>
      <c r="E376" s="1181" t="s">
        <v>127</v>
      </c>
      <c r="F376" s="1232"/>
      <c r="G376" s="1232"/>
      <c r="H376" s="1244"/>
      <c r="I376" s="1239"/>
      <c r="J376" s="1239"/>
      <c r="K376" s="1239"/>
      <c r="L376" s="1239"/>
      <c r="M376" s="1232"/>
      <c r="N376" s="1240"/>
      <c r="O376" s="1244"/>
      <c r="P376" s="1238"/>
      <c r="Q376" s="1244"/>
      <c r="R376" s="1254"/>
      <c r="S376" s="1244"/>
      <c r="T376" s="1244"/>
      <c r="U376" s="1244"/>
      <c r="V376" s="1240"/>
      <c r="W376" s="1244"/>
      <c r="X376" s="1244"/>
      <c r="Y376" s="1240"/>
    </row>
    <row r="377" spans="1:25" s="1175" customFormat="1" ht="24">
      <c r="B377" s="1108"/>
      <c r="C377" s="1173" t="s">
        <v>34</v>
      </c>
      <c r="D377" s="1439">
        <v>4</v>
      </c>
      <c r="E377" s="1295" t="s">
        <v>128</v>
      </c>
      <c r="F377" s="1232">
        <f t="shared" si="65"/>
        <v>39610</v>
      </c>
      <c r="G377" s="1232">
        <f t="shared" si="62"/>
        <v>0</v>
      </c>
      <c r="H377" s="1244"/>
      <c r="I377" s="1239"/>
      <c r="J377" s="1239"/>
      <c r="K377" s="1239"/>
      <c r="L377" s="1239"/>
      <c r="M377" s="1232">
        <f t="shared" si="63"/>
        <v>39610</v>
      </c>
      <c r="N377" s="1240">
        <v>6100</v>
      </c>
      <c r="O377" s="1244"/>
      <c r="P377" s="1238"/>
      <c r="Q377" s="1244"/>
      <c r="R377" s="1254"/>
      <c r="S377" s="1244">
        <v>10630</v>
      </c>
      <c r="T377" s="1244">
        <v>4800</v>
      </c>
      <c r="U377" s="1244">
        <v>5200</v>
      </c>
      <c r="V377" s="1240">
        <v>2760</v>
      </c>
      <c r="W377" s="1244">
        <v>4720</v>
      </c>
      <c r="X377" s="1244">
        <v>2500</v>
      </c>
      <c r="Y377" s="1240">
        <v>2900</v>
      </c>
    </row>
    <row r="378" spans="1:25" s="1175" customFormat="1" ht="24">
      <c r="B378" s="1108"/>
      <c r="C378" s="1173" t="s">
        <v>34</v>
      </c>
      <c r="D378" s="1439">
        <v>5</v>
      </c>
      <c r="E378" s="1087" t="s">
        <v>412</v>
      </c>
      <c r="F378" s="1232">
        <f t="shared" si="65"/>
        <v>62500</v>
      </c>
      <c r="G378" s="1232">
        <f t="shared" si="62"/>
        <v>20000</v>
      </c>
      <c r="H378" s="1244">
        <v>20000</v>
      </c>
      <c r="I378" s="1239"/>
      <c r="J378" s="1239"/>
      <c r="K378" s="1239"/>
      <c r="L378" s="1239"/>
      <c r="M378" s="1232">
        <f t="shared" si="63"/>
        <v>42500</v>
      </c>
      <c r="N378" s="1240">
        <v>4000</v>
      </c>
      <c r="O378" s="1244">
        <v>3000</v>
      </c>
      <c r="P378" s="1238">
        <v>3000</v>
      </c>
      <c r="Q378" s="1244">
        <v>3500</v>
      </c>
      <c r="R378" s="1254">
        <v>3500</v>
      </c>
      <c r="S378" s="1244">
        <v>5000</v>
      </c>
      <c r="T378" s="1244">
        <v>3500</v>
      </c>
      <c r="U378" s="1244">
        <v>4000</v>
      </c>
      <c r="V378" s="1240">
        <v>4000</v>
      </c>
      <c r="W378" s="1244">
        <v>3000</v>
      </c>
      <c r="X378" s="1244">
        <v>3000</v>
      </c>
      <c r="Y378" s="1240">
        <v>3000</v>
      </c>
    </row>
    <row r="379" spans="1:25" s="1075" customFormat="1" ht="24">
      <c r="A379" s="1075">
        <v>10</v>
      </c>
      <c r="B379" s="1093">
        <v>10</v>
      </c>
      <c r="C379" s="1172" t="s">
        <v>34</v>
      </c>
      <c r="D379" s="1438"/>
      <c r="E379" s="1286" t="s">
        <v>238</v>
      </c>
      <c r="F379" s="1232">
        <f t="shared" si="65"/>
        <v>2294947</v>
      </c>
      <c r="G379" s="1232">
        <f t="shared" si="62"/>
        <v>1677860</v>
      </c>
      <c r="H379" s="1233">
        <f>H380+H385+H395</f>
        <v>320000</v>
      </c>
      <c r="I379" s="1233">
        <f t="shared" ref="I379:L379" si="70">I380+I385+I395</f>
        <v>1357860</v>
      </c>
      <c r="J379" s="1233">
        <f t="shared" si="70"/>
        <v>0</v>
      </c>
      <c r="K379" s="1233">
        <f t="shared" si="70"/>
        <v>0</v>
      </c>
      <c r="L379" s="1233">
        <f t="shared" si="70"/>
        <v>0</v>
      </c>
      <c r="M379" s="1233">
        <f t="shared" ref="M379" si="71">M380+M385+M395</f>
        <v>617087</v>
      </c>
      <c r="N379" s="1233">
        <f t="shared" ref="N379" si="72">N380+N385+N395</f>
        <v>123400</v>
      </c>
      <c r="O379" s="1233">
        <f t="shared" ref="O379" si="73">O380+O385+O395</f>
        <v>90000</v>
      </c>
      <c r="P379" s="1233">
        <f t="shared" ref="P379" si="74">P380+P385+P395</f>
        <v>8700</v>
      </c>
      <c r="Q379" s="1233">
        <f t="shared" ref="Q379:R379" si="75">Q380+Q385+Q395</f>
        <v>24220</v>
      </c>
      <c r="R379" s="1233">
        <f t="shared" si="75"/>
        <v>55180</v>
      </c>
      <c r="S379" s="1233">
        <f t="shared" ref="S379" si="76">S380+S385+S395</f>
        <v>42000</v>
      </c>
      <c r="T379" s="1233">
        <f t="shared" ref="T379" si="77">T380+T385+T395</f>
        <v>4547</v>
      </c>
      <c r="U379" s="1233">
        <f t="shared" ref="U379" si="78">U380+U385+U395</f>
        <v>32440</v>
      </c>
      <c r="V379" s="1233">
        <f t="shared" ref="V379:W379" si="79">V380+V385+V395</f>
        <v>41826</v>
      </c>
      <c r="W379" s="1233">
        <f t="shared" si="79"/>
        <v>34010</v>
      </c>
      <c r="X379" s="1233">
        <f t="shared" ref="X379" si="80">X380+X385+X395</f>
        <v>85764</v>
      </c>
      <c r="Y379" s="1233">
        <f t="shared" ref="Y379" si="81">Y380+Y385+Y395</f>
        <v>75000</v>
      </c>
    </row>
    <row r="380" spans="1:25" s="1078" customFormat="1" ht="36">
      <c r="A380" s="1078" t="s">
        <v>806</v>
      </c>
      <c r="B380" s="1094" t="s">
        <v>583</v>
      </c>
      <c r="C380" s="1173" t="s">
        <v>34</v>
      </c>
      <c r="D380" s="1439"/>
      <c r="E380" s="1081" t="s">
        <v>28</v>
      </c>
      <c r="F380" s="1232">
        <f t="shared" si="65"/>
        <v>20000</v>
      </c>
      <c r="G380" s="1232">
        <f t="shared" si="62"/>
        <v>20000</v>
      </c>
      <c r="H380" s="1236">
        <f>SUM(H381:H384)</f>
        <v>20000</v>
      </c>
      <c r="I380" s="1237">
        <f>SUM(I381:I384)</f>
        <v>0</v>
      </c>
      <c r="J380" s="1237">
        <f>SUM(J381:J384)</f>
        <v>0</v>
      </c>
      <c r="K380" s="1237">
        <f>SUM(K381:K384)</f>
        <v>0</v>
      </c>
      <c r="L380" s="1237">
        <f>SUM(L381:L384)</f>
        <v>0</v>
      </c>
      <c r="M380" s="1232">
        <f t="shared" si="63"/>
        <v>0</v>
      </c>
      <c r="N380" s="1236">
        <f t="shared" ref="N380:Y380" si="82">SUM(N381:N384)</f>
        <v>0</v>
      </c>
      <c r="O380" s="1236">
        <f t="shared" si="82"/>
        <v>0</v>
      </c>
      <c r="P380" s="1236">
        <f t="shared" si="82"/>
        <v>0</v>
      </c>
      <c r="Q380" s="1236">
        <f t="shared" si="82"/>
        <v>0</v>
      </c>
      <c r="R380" s="1236">
        <f t="shared" si="82"/>
        <v>0</v>
      </c>
      <c r="S380" s="1236">
        <f t="shared" si="82"/>
        <v>0</v>
      </c>
      <c r="T380" s="1236">
        <f t="shared" si="82"/>
        <v>0</v>
      </c>
      <c r="U380" s="1236">
        <f t="shared" si="82"/>
        <v>0</v>
      </c>
      <c r="V380" s="1236">
        <f t="shared" si="82"/>
        <v>0</v>
      </c>
      <c r="W380" s="1236">
        <f t="shared" si="82"/>
        <v>0</v>
      </c>
      <c r="X380" s="1236">
        <f t="shared" si="82"/>
        <v>0</v>
      </c>
      <c r="Y380" s="1236">
        <f t="shared" si="82"/>
        <v>0</v>
      </c>
    </row>
    <row r="381" spans="1:25" s="1088" customFormat="1" ht="36">
      <c r="B381" s="1183"/>
      <c r="C381" s="1184" t="s">
        <v>34</v>
      </c>
      <c r="D381" s="1440">
        <v>1</v>
      </c>
      <c r="E381" s="1185" t="s">
        <v>330</v>
      </c>
      <c r="F381" s="1263">
        <f t="shared" si="65"/>
        <v>10000</v>
      </c>
      <c r="G381" s="1263">
        <f t="shared" si="62"/>
        <v>10000</v>
      </c>
      <c r="H381" s="1247">
        <v>10000</v>
      </c>
      <c r="I381" s="1241"/>
      <c r="J381" s="1239"/>
      <c r="K381" s="1239"/>
      <c r="L381" s="1239"/>
      <c r="M381" s="1263">
        <f t="shared" si="63"/>
        <v>0</v>
      </c>
      <c r="N381" s="1240"/>
      <c r="O381" s="1240"/>
      <c r="P381" s="1240"/>
      <c r="Q381" s="1240"/>
      <c r="R381" s="1238"/>
      <c r="S381" s="1238"/>
      <c r="T381" s="1240"/>
      <c r="U381" s="1240"/>
      <c r="V381" s="1238"/>
      <c r="W381" s="1240"/>
      <c r="X381" s="1240"/>
      <c r="Y381" s="1240"/>
    </row>
    <row r="382" spans="1:25" s="1088" customFormat="1" ht="48">
      <c r="B382" s="1183"/>
      <c r="C382" s="1184" t="s">
        <v>34</v>
      </c>
      <c r="D382" s="1440">
        <v>2</v>
      </c>
      <c r="E382" s="1186" t="s">
        <v>331</v>
      </c>
      <c r="F382" s="1263"/>
      <c r="G382" s="1263"/>
      <c r="H382" s="1247"/>
      <c r="I382" s="1241"/>
      <c r="J382" s="1239"/>
      <c r="K382" s="1239"/>
      <c r="L382" s="1239"/>
      <c r="M382" s="1263"/>
      <c r="N382" s="1240"/>
      <c r="O382" s="1240"/>
      <c r="P382" s="1238"/>
      <c r="Q382" s="1240"/>
      <c r="R382" s="1238"/>
      <c r="S382" s="1238"/>
      <c r="T382" s="1238"/>
      <c r="U382" s="1240"/>
      <c r="V382" s="1238"/>
      <c r="W382" s="1240"/>
      <c r="X382" s="1240"/>
      <c r="Y382" s="1240"/>
    </row>
    <row r="383" spans="1:25" s="1088" customFormat="1" ht="72">
      <c r="B383" s="1183"/>
      <c r="C383" s="1184" t="s">
        <v>34</v>
      </c>
      <c r="D383" s="1440">
        <v>3</v>
      </c>
      <c r="E383" s="1185" t="s">
        <v>333</v>
      </c>
      <c r="F383" s="1263">
        <f t="shared" si="65"/>
        <v>10000</v>
      </c>
      <c r="G383" s="1263">
        <f t="shared" si="62"/>
        <v>10000</v>
      </c>
      <c r="H383" s="1247">
        <v>10000</v>
      </c>
      <c r="I383" s="1241"/>
      <c r="J383" s="1239"/>
      <c r="K383" s="1239"/>
      <c r="L383" s="1239"/>
      <c r="M383" s="1263">
        <f t="shared" si="63"/>
        <v>0</v>
      </c>
      <c r="N383" s="1240"/>
      <c r="O383" s="1240"/>
      <c r="P383" s="1238"/>
      <c r="Q383" s="1240"/>
      <c r="R383" s="1238"/>
      <c r="S383" s="1238"/>
      <c r="T383" s="1238"/>
      <c r="U383" s="1240"/>
      <c r="V383" s="1238"/>
      <c r="W383" s="1240"/>
      <c r="X383" s="1240"/>
      <c r="Y383" s="1240"/>
    </row>
    <row r="384" spans="1:25" s="1088" customFormat="1" ht="48">
      <c r="B384" s="1183"/>
      <c r="C384" s="1184" t="s">
        <v>34</v>
      </c>
      <c r="D384" s="1440">
        <v>4</v>
      </c>
      <c r="E384" s="1185" t="s">
        <v>710</v>
      </c>
      <c r="F384" s="1263"/>
      <c r="G384" s="1263"/>
      <c r="H384" s="1247"/>
      <c r="I384" s="1241"/>
      <c r="J384" s="1239"/>
      <c r="K384" s="1239"/>
      <c r="L384" s="1239"/>
      <c r="M384" s="1263"/>
      <c r="N384" s="1240"/>
      <c r="O384" s="1240"/>
      <c r="P384" s="1238"/>
      <c r="Q384" s="1240"/>
      <c r="R384" s="1238"/>
      <c r="S384" s="1240"/>
      <c r="T384" s="1238"/>
      <c r="U384" s="1240"/>
      <c r="V384" s="1238"/>
      <c r="W384" s="1240"/>
      <c r="X384" s="1240"/>
      <c r="Y384" s="1240"/>
    </row>
    <row r="385" spans="1:25" s="1078" customFormat="1">
      <c r="A385" s="1078" t="s">
        <v>807</v>
      </c>
      <c r="B385" s="1187" t="s">
        <v>584</v>
      </c>
      <c r="C385" s="1188" t="s">
        <v>1</v>
      </c>
      <c r="D385" s="1441"/>
      <c r="E385" s="1189"/>
      <c r="F385" s="1235">
        <f t="shared" ref="F385:F447" si="83">G385+M385</f>
        <v>1974947</v>
      </c>
      <c r="G385" s="1235">
        <f>SUM(H385:L385)</f>
        <v>1357860</v>
      </c>
      <c r="H385" s="1236">
        <f>SUM(H386:H394)</f>
        <v>0</v>
      </c>
      <c r="I385" s="1237">
        <f>SUM(I386:I394)</f>
        <v>1357860</v>
      </c>
      <c r="J385" s="1237">
        <f>SUM(J386:J394)</f>
        <v>0</v>
      </c>
      <c r="K385" s="1237">
        <f>SUM(K386:K394)</f>
        <v>0</v>
      </c>
      <c r="L385" s="1237">
        <f>SUM(L386:L394)</f>
        <v>0</v>
      </c>
      <c r="M385" s="1235">
        <f t="shared" ref="M385:M447" si="84">SUM(N385:Y385)</f>
        <v>617087</v>
      </c>
      <c r="N385" s="1236">
        <f t="shared" ref="N385:Y385" si="85">SUM(N386:N394)</f>
        <v>123400</v>
      </c>
      <c r="O385" s="1236">
        <f t="shared" si="85"/>
        <v>90000</v>
      </c>
      <c r="P385" s="1236">
        <f t="shared" si="85"/>
        <v>8700</v>
      </c>
      <c r="Q385" s="1236">
        <f t="shared" si="85"/>
        <v>24220</v>
      </c>
      <c r="R385" s="1236">
        <f t="shared" si="85"/>
        <v>55180</v>
      </c>
      <c r="S385" s="1236">
        <f t="shared" si="85"/>
        <v>42000</v>
      </c>
      <c r="T385" s="1236">
        <f t="shared" si="85"/>
        <v>4547</v>
      </c>
      <c r="U385" s="1236">
        <f t="shared" si="85"/>
        <v>32440</v>
      </c>
      <c r="V385" s="1236">
        <f t="shared" si="85"/>
        <v>41826</v>
      </c>
      <c r="W385" s="1236">
        <f t="shared" si="85"/>
        <v>34010</v>
      </c>
      <c r="X385" s="1236">
        <f t="shared" si="85"/>
        <v>85764</v>
      </c>
      <c r="Y385" s="1236">
        <f t="shared" si="85"/>
        <v>75000</v>
      </c>
    </row>
    <row r="386" spans="1:25" s="1088" customFormat="1" ht="24">
      <c r="B386" s="1184"/>
      <c r="C386" s="1173" t="s">
        <v>1</v>
      </c>
      <c r="D386" s="1439">
        <v>1</v>
      </c>
      <c r="E386" s="1086" t="s">
        <v>549</v>
      </c>
      <c r="F386" s="1232">
        <f t="shared" si="83"/>
        <v>67940</v>
      </c>
      <c r="G386" s="1232">
        <f t="shared" ref="G386:G447" si="86">SUM(H386:L386)</f>
        <v>19500</v>
      </c>
      <c r="H386" s="1247"/>
      <c r="I386" s="1239">
        <v>19500</v>
      </c>
      <c r="J386" s="1239"/>
      <c r="K386" s="1239"/>
      <c r="L386" s="1239"/>
      <c r="M386" s="1232">
        <f t="shared" si="84"/>
        <v>48440</v>
      </c>
      <c r="N386" s="1238"/>
      <c r="O386" s="1238">
        <v>10000</v>
      </c>
      <c r="P386" s="1238"/>
      <c r="Q386" s="1238"/>
      <c r="R386" s="1238"/>
      <c r="S386" s="1238">
        <v>12000</v>
      </c>
      <c r="T386" s="1238">
        <v>960</v>
      </c>
      <c r="U386" s="1238"/>
      <c r="V386" s="1238"/>
      <c r="W386" s="1238"/>
      <c r="X386" s="1238">
        <v>5480</v>
      </c>
      <c r="Y386" s="1238">
        <v>20000</v>
      </c>
    </row>
    <row r="387" spans="1:25" s="1088" customFormat="1" ht="48">
      <c r="B387" s="1184"/>
      <c r="C387" s="1173" t="s">
        <v>1</v>
      </c>
      <c r="D387" s="1439">
        <v>2</v>
      </c>
      <c r="E387" s="1085" t="s">
        <v>550</v>
      </c>
      <c r="F387" s="1232">
        <f t="shared" si="83"/>
        <v>126780</v>
      </c>
      <c r="G387" s="1232">
        <f t="shared" si="86"/>
        <v>60800</v>
      </c>
      <c r="H387" s="1247"/>
      <c r="I387" s="1239">
        <v>60800</v>
      </c>
      <c r="J387" s="1239"/>
      <c r="K387" s="1239"/>
      <c r="L387" s="1239"/>
      <c r="M387" s="1232">
        <f t="shared" si="84"/>
        <v>65980</v>
      </c>
      <c r="N387" s="1238">
        <v>20000</v>
      </c>
      <c r="O387" s="1238">
        <v>10000</v>
      </c>
      <c r="P387" s="1238">
        <v>2600</v>
      </c>
      <c r="Q387" s="1238"/>
      <c r="R387" s="1238">
        <v>7000</v>
      </c>
      <c r="S387" s="1238"/>
      <c r="T387" s="1238"/>
      <c r="U387" s="1238">
        <v>13700</v>
      </c>
      <c r="V387" s="1238"/>
      <c r="W387" s="1238"/>
      <c r="X387" s="1238">
        <v>7680</v>
      </c>
      <c r="Y387" s="1238">
        <v>5000</v>
      </c>
    </row>
    <row r="388" spans="1:25" s="1088" customFormat="1" ht="72">
      <c r="B388" s="1184"/>
      <c r="C388" s="1173" t="s">
        <v>1</v>
      </c>
      <c r="D388" s="1439">
        <v>3</v>
      </c>
      <c r="E388" s="1296" t="s">
        <v>551</v>
      </c>
      <c r="F388" s="1232">
        <f t="shared" si="83"/>
        <v>215880</v>
      </c>
      <c r="G388" s="1232">
        <f t="shared" si="86"/>
        <v>132560</v>
      </c>
      <c r="H388" s="1247"/>
      <c r="I388" s="1239">
        <v>132560</v>
      </c>
      <c r="J388" s="1239"/>
      <c r="K388" s="1239"/>
      <c r="L388" s="1239"/>
      <c r="M388" s="1232">
        <f t="shared" si="84"/>
        <v>83320</v>
      </c>
      <c r="N388" s="1240"/>
      <c r="O388" s="1244">
        <v>20000</v>
      </c>
      <c r="P388" s="1238"/>
      <c r="Q388" s="1244"/>
      <c r="R388" s="1254">
        <v>30880</v>
      </c>
      <c r="S388" s="1238"/>
      <c r="T388" s="1238"/>
      <c r="U388" s="1244"/>
      <c r="V388" s="1238"/>
      <c r="W388" s="1244"/>
      <c r="X388" s="1244">
        <v>22440</v>
      </c>
      <c r="Y388" s="1240">
        <v>10000</v>
      </c>
    </row>
    <row r="389" spans="1:25" s="1088" customFormat="1" ht="24">
      <c r="B389" s="1184"/>
      <c r="C389" s="1173" t="s">
        <v>1</v>
      </c>
      <c r="D389" s="1439">
        <v>4</v>
      </c>
      <c r="E389" s="1085" t="s">
        <v>552</v>
      </c>
      <c r="F389" s="1232">
        <f t="shared" si="83"/>
        <v>225000</v>
      </c>
      <c r="G389" s="1232">
        <f t="shared" si="86"/>
        <v>200000</v>
      </c>
      <c r="H389" s="1247"/>
      <c r="I389" s="1239">
        <v>200000</v>
      </c>
      <c r="J389" s="1239"/>
      <c r="K389" s="1239"/>
      <c r="L389" s="1239"/>
      <c r="M389" s="1232">
        <f t="shared" si="84"/>
        <v>25000</v>
      </c>
      <c r="N389" s="1238"/>
      <c r="O389" s="1238">
        <v>15000</v>
      </c>
      <c r="P389" s="1238"/>
      <c r="Q389" s="1238"/>
      <c r="R389" s="1238">
        <v>10000</v>
      </c>
      <c r="S389" s="1238"/>
      <c r="T389" s="1238"/>
      <c r="U389" s="1238"/>
      <c r="V389" s="1238"/>
      <c r="W389" s="1238"/>
      <c r="X389" s="1238"/>
      <c r="Y389" s="1238"/>
    </row>
    <row r="390" spans="1:25" s="1088" customFormat="1" ht="24">
      <c r="B390" s="1184"/>
      <c r="C390" s="1173" t="s">
        <v>1</v>
      </c>
      <c r="D390" s="1439">
        <v>5</v>
      </c>
      <c r="E390" s="1190" t="s">
        <v>553</v>
      </c>
      <c r="F390" s="1232">
        <f t="shared" si="83"/>
        <v>962257</v>
      </c>
      <c r="G390" s="1232">
        <f t="shared" si="86"/>
        <v>655000</v>
      </c>
      <c r="H390" s="1247"/>
      <c r="I390" s="1239">
        <v>655000</v>
      </c>
      <c r="J390" s="1239"/>
      <c r="K390" s="1239"/>
      <c r="L390" s="1239"/>
      <c r="M390" s="1232">
        <f t="shared" si="84"/>
        <v>307257</v>
      </c>
      <c r="N390" s="1240">
        <v>103400</v>
      </c>
      <c r="O390" s="1244">
        <v>15000</v>
      </c>
      <c r="P390" s="1238">
        <v>6100</v>
      </c>
      <c r="Q390" s="1244">
        <v>24220</v>
      </c>
      <c r="R390" s="1254">
        <v>7300</v>
      </c>
      <c r="S390" s="1238">
        <v>30000</v>
      </c>
      <c r="T390" s="1238">
        <v>3587</v>
      </c>
      <c r="U390" s="1244">
        <v>8740</v>
      </c>
      <c r="V390" s="1238">
        <v>9500</v>
      </c>
      <c r="W390" s="1244">
        <v>28010</v>
      </c>
      <c r="X390" s="1244">
        <v>46400</v>
      </c>
      <c r="Y390" s="1240">
        <v>25000</v>
      </c>
    </row>
    <row r="391" spans="1:25" s="1088" customFormat="1" ht="36">
      <c r="B391" s="1184"/>
      <c r="C391" s="1173" t="s">
        <v>1</v>
      </c>
      <c r="D391" s="1439">
        <v>6</v>
      </c>
      <c r="E391" s="1096" t="s">
        <v>554</v>
      </c>
      <c r="F391" s="1232"/>
      <c r="G391" s="1232"/>
      <c r="H391" s="1247"/>
      <c r="I391" s="1239"/>
      <c r="J391" s="1239"/>
      <c r="K391" s="1239"/>
      <c r="L391" s="1239"/>
      <c r="M391" s="1232"/>
      <c r="N391" s="1238"/>
      <c r="O391" s="1244"/>
      <c r="P391" s="1238"/>
      <c r="Q391" s="1238"/>
      <c r="R391" s="1238"/>
      <c r="S391" s="1238"/>
      <c r="T391" s="1238"/>
      <c r="U391" s="1238"/>
      <c r="V391" s="1238"/>
      <c r="W391" s="1238"/>
      <c r="X391" s="1244"/>
      <c r="Y391" s="1240"/>
    </row>
    <row r="392" spans="1:25" s="1088" customFormat="1" ht="24">
      <c r="B392" s="1184"/>
      <c r="C392" s="1173" t="s">
        <v>1</v>
      </c>
      <c r="D392" s="1439">
        <v>7</v>
      </c>
      <c r="E392" s="1163" t="s">
        <v>555</v>
      </c>
      <c r="F392" s="1232">
        <f t="shared" si="83"/>
        <v>278890</v>
      </c>
      <c r="G392" s="1232">
        <f t="shared" si="86"/>
        <v>200000</v>
      </c>
      <c r="H392" s="1247"/>
      <c r="I392" s="1239">
        <v>200000</v>
      </c>
      <c r="J392" s="1239"/>
      <c r="K392" s="1239"/>
      <c r="L392" s="1239"/>
      <c r="M392" s="1232">
        <f t="shared" si="84"/>
        <v>78890</v>
      </c>
      <c r="N392" s="1240"/>
      <c r="O392" s="1244">
        <v>20000</v>
      </c>
      <c r="P392" s="1238"/>
      <c r="Q392" s="1244"/>
      <c r="R392" s="1254"/>
      <c r="S392" s="1244"/>
      <c r="T392" s="1238"/>
      <c r="U392" s="1244">
        <v>10000</v>
      </c>
      <c r="V392" s="1238">
        <v>32326</v>
      </c>
      <c r="W392" s="1244">
        <v>6000</v>
      </c>
      <c r="X392" s="1244">
        <v>564</v>
      </c>
      <c r="Y392" s="1240">
        <v>10000</v>
      </c>
    </row>
    <row r="393" spans="1:25" s="1088" customFormat="1" ht="24">
      <c r="B393" s="1184"/>
      <c r="C393" s="1173" t="s">
        <v>1</v>
      </c>
      <c r="D393" s="1439">
        <v>8</v>
      </c>
      <c r="E393" s="1087" t="s">
        <v>556</v>
      </c>
      <c r="F393" s="1232">
        <f t="shared" si="83"/>
        <v>98200</v>
      </c>
      <c r="G393" s="1232">
        <f t="shared" si="86"/>
        <v>90000</v>
      </c>
      <c r="H393" s="1247"/>
      <c r="I393" s="1239">
        <v>90000</v>
      </c>
      <c r="J393" s="1239"/>
      <c r="K393" s="1239"/>
      <c r="L393" s="1239"/>
      <c r="M393" s="1232">
        <f t="shared" si="84"/>
        <v>8200</v>
      </c>
      <c r="N393" s="1240"/>
      <c r="O393" s="1244"/>
      <c r="P393" s="1238"/>
      <c r="Q393" s="1244"/>
      <c r="R393" s="1254"/>
      <c r="S393" s="1238"/>
      <c r="T393" s="1238"/>
      <c r="U393" s="1244"/>
      <c r="V393" s="1238"/>
      <c r="W393" s="1244"/>
      <c r="X393" s="1244">
        <v>3200</v>
      </c>
      <c r="Y393" s="1240">
        <v>5000</v>
      </c>
    </row>
    <row r="394" spans="1:25" s="1088" customFormat="1" ht="36">
      <c r="B394" s="1184"/>
      <c r="C394" s="1173" t="s">
        <v>1</v>
      </c>
      <c r="D394" s="1439">
        <v>9</v>
      </c>
      <c r="E394" s="1087" t="s">
        <v>557</v>
      </c>
      <c r="F394" s="1232"/>
      <c r="G394" s="1232"/>
      <c r="H394" s="1247"/>
      <c r="I394" s="1239"/>
      <c r="J394" s="1239"/>
      <c r="K394" s="1239"/>
      <c r="L394" s="1239"/>
      <c r="M394" s="1232"/>
      <c r="N394" s="1240"/>
      <c r="O394" s="1244"/>
      <c r="P394" s="1238"/>
      <c r="Q394" s="1244"/>
      <c r="R394" s="1254"/>
      <c r="S394" s="1238"/>
      <c r="T394" s="1238"/>
      <c r="U394" s="1244"/>
      <c r="V394" s="1238"/>
      <c r="W394" s="1244"/>
      <c r="X394" s="1244"/>
      <c r="Y394" s="1240"/>
    </row>
    <row r="395" spans="1:25" s="1078" customFormat="1" ht="36">
      <c r="A395" s="1078" t="s">
        <v>807</v>
      </c>
      <c r="B395" s="1094" t="s">
        <v>255</v>
      </c>
      <c r="C395" s="1188" t="s">
        <v>34</v>
      </c>
      <c r="D395" s="1441"/>
      <c r="E395" s="1290" t="s">
        <v>30</v>
      </c>
      <c r="F395" s="1235">
        <f>G395+M395</f>
        <v>300000</v>
      </c>
      <c r="G395" s="1235">
        <f>SUM(H395:L395)</f>
        <v>300000</v>
      </c>
      <c r="H395" s="1236">
        <f>SUM(H396:H404)</f>
        <v>300000</v>
      </c>
      <c r="I395" s="1237">
        <f t="shared" ref="I395:Y395" si="87">SUM(I396:I404)</f>
        <v>0</v>
      </c>
      <c r="J395" s="1237">
        <f t="shared" si="87"/>
        <v>0</v>
      </c>
      <c r="K395" s="1237">
        <f t="shared" si="87"/>
        <v>0</v>
      </c>
      <c r="L395" s="1237">
        <f t="shared" si="87"/>
        <v>0</v>
      </c>
      <c r="M395" s="1235">
        <f t="shared" si="84"/>
        <v>0</v>
      </c>
      <c r="N395" s="1236">
        <f t="shared" si="87"/>
        <v>0</v>
      </c>
      <c r="O395" s="1236">
        <f t="shared" si="87"/>
        <v>0</v>
      </c>
      <c r="P395" s="1236">
        <f t="shared" si="87"/>
        <v>0</v>
      </c>
      <c r="Q395" s="1236">
        <f t="shared" si="87"/>
        <v>0</v>
      </c>
      <c r="R395" s="1236">
        <f t="shared" si="87"/>
        <v>0</v>
      </c>
      <c r="S395" s="1236">
        <f t="shared" si="87"/>
        <v>0</v>
      </c>
      <c r="T395" s="1236">
        <f t="shared" si="87"/>
        <v>0</v>
      </c>
      <c r="U395" s="1236">
        <f t="shared" si="87"/>
        <v>0</v>
      </c>
      <c r="V395" s="1236">
        <f t="shared" si="87"/>
        <v>0</v>
      </c>
      <c r="W395" s="1236">
        <f t="shared" si="87"/>
        <v>0</v>
      </c>
      <c r="X395" s="1236">
        <f t="shared" si="87"/>
        <v>0</v>
      </c>
      <c r="Y395" s="1236">
        <f t="shared" si="87"/>
        <v>0</v>
      </c>
    </row>
    <row r="396" spans="1:25" s="1088" customFormat="1" ht="24">
      <c r="B396" s="1191"/>
      <c r="C396" s="1184" t="s">
        <v>34</v>
      </c>
      <c r="D396" s="1440">
        <v>1</v>
      </c>
      <c r="E396" s="1105" t="s">
        <v>131</v>
      </c>
      <c r="F396" s="1258">
        <f t="shared" si="83"/>
        <v>40000</v>
      </c>
      <c r="G396" s="1258">
        <f t="shared" si="86"/>
        <v>40000</v>
      </c>
      <c r="H396" s="1238">
        <v>40000</v>
      </c>
      <c r="I396" s="1239"/>
      <c r="J396" s="1239"/>
      <c r="K396" s="1239"/>
      <c r="L396" s="1239"/>
      <c r="M396" s="1258">
        <f t="shared" si="84"/>
        <v>0</v>
      </c>
      <c r="N396" s="1238"/>
      <c r="O396" s="1240"/>
      <c r="P396" s="1238"/>
      <c r="Q396" s="1238"/>
      <c r="R396" s="1238"/>
      <c r="S396" s="1238"/>
      <c r="T396" s="1238"/>
      <c r="U396" s="1238"/>
      <c r="V396" s="1238"/>
      <c r="W396" s="1238"/>
      <c r="X396" s="1240"/>
      <c r="Y396" s="1240"/>
    </row>
    <row r="397" spans="1:25" s="1088" customFormat="1" ht="48">
      <c r="B397" s="1191"/>
      <c r="C397" s="1184" t="s">
        <v>34</v>
      </c>
      <c r="D397" s="1440">
        <v>2</v>
      </c>
      <c r="E397" s="1096" t="s">
        <v>474</v>
      </c>
      <c r="F397" s="1258"/>
      <c r="G397" s="1258"/>
      <c r="H397" s="1238"/>
      <c r="I397" s="1239"/>
      <c r="J397" s="1239"/>
      <c r="K397" s="1239"/>
      <c r="L397" s="1239"/>
      <c r="M397" s="1258"/>
      <c r="N397" s="1238"/>
      <c r="O397" s="1240"/>
      <c r="P397" s="1238"/>
      <c r="Q397" s="1238"/>
      <c r="R397" s="1238"/>
      <c r="S397" s="1238"/>
      <c r="T397" s="1238"/>
      <c r="U397" s="1238"/>
      <c r="V397" s="1238"/>
      <c r="W397" s="1238"/>
      <c r="X397" s="1240"/>
      <c r="Y397" s="1240"/>
    </row>
    <row r="398" spans="1:25" s="1088" customFormat="1" ht="36">
      <c r="B398" s="1191"/>
      <c r="C398" s="1184" t="s">
        <v>34</v>
      </c>
      <c r="D398" s="1440">
        <v>3</v>
      </c>
      <c r="E398" s="1105" t="s">
        <v>132</v>
      </c>
      <c r="F398" s="1258">
        <f t="shared" si="83"/>
        <v>10000</v>
      </c>
      <c r="G398" s="1258">
        <f t="shared" si="86"/>
        <v>10000</v>
      </c>
      <c r="H398" s="1238">
        <v>10000</v>
      </c>
      <c r="I398" s="1239"/>
      <c r="J398" s="1239"/>
      <c r="K398" s="1239"/>
      <c r="L398" s="1239"/>
      <c r="M398" s="1258">
        <f t="shared" si="84"/>
        <v>0</v>
      </c>
      <c r="N398" s="1238"/>
      <c r="O398" s="1240"/>
      <c r="P398" s="1238"/>
      <c r="Q398" s="1238"/>
      <c r="R398" s="1238"/>
      <c r="S398" s="1238"/>
      <c r="T398" s="1238"/>
      <c r="U398" s="1238"/>
      <c r="V398" s="1238"/>
      <c r="W398" s="1238"/>
      <c r="X398" s="1240"/>
      <c r="Y398" s="1240"/>
    </row>
    <row r="399" spans="1:25" s="1088" customFormat="1" ht="60">
      <c r="B399" s="1191"/>
      <c r="C399" s="1184" t="s">
        <v>34</v>
      </c>
      <c r="D399" s="1440">
        <v>4</v>
      </c>
      <c r="E399" s="1085" t="s">
        <v>475</v>
      </c>
      <c r="F399" s="1258">
        <f t="shared" si="83"/>
        <v>100000</v>
      </c>
      <c r="G399" s="1258">
        <f t="shared" si="86"/>
        <v>100000</v>
      </c>
      <c r="H399" s="1238">
        <f>50000+50000</f>
        <v>100000</v>
      </c>
      <c r="I399" s="1239"/>
      <c r="J399" s="1239"/>
      <c r="K399" s="1239"/>
      <c r="L399" s="1239"/>
      <c r="M399" s="1258">
        <f t="shared" si="84"/>
        <v>0</v>
      </c>
      <c r="N399" s="1238"/>
      <c r="O399" s="1240"/>
      <c r="P399" s="1238"/>
      <c r="Q399" s="1238"/>
      <c r="R399" s="1238"/>
      <c r="S399" s="1238"/>
      <c r="T399" s="1238"/>
      <c r="U399" s="1238"/>
      <c r="V399" s="1238"/>
      <c r="W399" s="1238"/>
      <c r="X399" s="1240"/>
      <c r="Y399" s="1240"/>
    </row>
    <row r="400" spans="1:25" s="1088" customFormat="1" ht="60">
      <c r="B400" s="1191"/>
      <c r="C400" s="1184" t="s">
        <v>34</v>
      </c>
      <c r="D400" s="1440">
        <v>5</v>
      </c>
      <c r="E400" s="1085" t="s">
        <v>476</v>
      </c>
      <c r="F400" s="1258">
        <f t="shared" si="83"/>
        <v>120000</v>
      </c>
      <c r="G400" s="1258">
        <f t="shared" si="86"/>
        <v>120000</v>
      </c>
      <c r="H400" s="1238">
        <f>60000+60000</f>
        <v>120000</v>
      </c>
      <c r="I400" s="1239"/>
      <c r="J400" s="1239"/>
      <c r="K400" s="1239"/>
      <c r="L400" s="1239"/>
      <c r="M400" s="1258">
        <f t="shared" si="84"/>
        <v>0</v>
      </c>
      <c r="N400" s="1238"/>
      <c r="O400" s="1240"/>
      <c r="P400" s="1238"/>
      <c r="Q400" s="1238"/>
      <c r="R400" s="1238"/>
      <c r="S400" s="1238"/>
      <c r="T400" s="1238"/>
      <c r="U400" s="1238"/>
      <c r="V400" s="1238"/>
      <c r="W400" s="1238"/>
      <c r="X400" s="1240"/>
      <c r="Y400" s="1240"/>
    </row>
    <row r="401" spans="1:25" s="1088" customFormat="1" ht="48">
      <c r="B401" s="1191"/>
      <c r="C401" s="1184" t="s">
        <v>34</v>
      </c>
      <c r="D401" s="1440">
        <v>6</v>
      </c>
      <c r="E401" s="1085" t="s">
        <v>477</v>
      </c>
      <c r="F401" s="1258">
        <f t="shared" si="83"/>
        <v>30000</v>
      </c>
      <c r="G401" s="1258">
        <f t="shared" si="86"/>
        <v>30000</v>
      </c>
      <c r="H401" s="1238">
        <v>30000</v>
      </c>
      <c r="I401" s="1239"/>
      <c r="J401" s="1239"/>
      <c r="K401" s="1239"/>
      <c r="L401" s="1239"/>
      <c r="M401" s="1258">
        <f t="shared" si="84"/>
        <v>0</v>
      </c>
      <c r="N401" s="1238"/>
      <c r="O401" s="1240"/>
      <c r="P401" s="1238"/>
      <c r="Q401" s="1238"/>
      <c r="R401" s="1238"/>
      <c r="S401" s="1238"/>
      <c r="T401" s="1238"/>
      <c r="U401" s="1238"/>
      <c r="V401" s="1238"/>
      <c r="W401" s="1238"/>
      <c r="X401" s="1240"/>
      <c r="Y401" s="1240"/>
    </row>
    <row r="402" spans="1:25" s="1088" customFormat="1" ht="48">
      <c r="B402" s="1191"/>
      <c r="C402" s="1184" t="s">
        <v>34</v>
      </c>
      <c r="D402" s="1440">
        <v>7</v>
      </c>
      <c r="E402" s="1086" t="s">
        <v>711</v>
      </c>
      <c r="F402" s="1258"/>
      <c r="G402" s="1258"/>
      <c r="H402" s="1238"/>
      <c r="I402" s="1239"/>
      <c r="J402" s="1239"/>
      <c r="K402" s="1239"/>
      <c r="L402" s="1239"/>
      <c r="M402" s="1258"/>
      <c r="N402" s="1238"/>
      <c r="O402" s="1240"/>
      <c r="P402" s="1238"/>
      <c r="Q402" s="1238"/>
      <c r="R402" s="1238"/>
      <c r="S402" s="1238"/>
      <c r="T402" s="1238"/>
      <c r="U402" s="1238"/>
      <c r="V402" s="1238"/>
      <c r="W402" s="1238"/>
      <c r="X402" s="1240"/>
      <c r="Y402" s="1240"/>
    </row>
    <row r="403" spans="1:25" s="1088" customFormat="1">
      <c r="B403" s="1191"/>
      <c r="C403" s="1184" t="s">
        <v>34</v>
      </c>
      <c r="D403" s="1440">
        <v>8</v>
      </c>
      <c r="E403" s="1085" t="s">
        <v>292</v>
      </c>
      <c r="F403" s="1258">
        <f t="shared" si="83"/>
        <v>0</v>
      </c>
      <c r="G403" s="1258">
        <f t="shared" si="86"/>
        <v>0</v>
      </c>
      <c r="H403" s="1238"/>
      <c r="I403" s="1239"/>
      <c r="J403" s="1239"/>
      <c r="K403" s="1239"/>
      <c r="L403" s="1239"/>
      <c r="M403" s="1258">
        <f t="shared" si="84"/>
        <v>0</v>
      </c>
      <c r="N403" s="1238"/>
      <c r="O403" s="1240"/>
      <c r="P403" s="1238"/>
      <c r="Q403" s="1238"/>
      <c r="R403" s="1238"/>
      <c r="S403" s="1238"/>
      <c r="T403" s="1238"/>
      <c r="U403" s="1238"/>
      <c r="V403" s="1240"/>
      <c r="W403" s="1238"/>
      <c r="X403" s="1240"/>
      <c r="Y403" s="1240"/>
    </row>
    <row r="404" spans="1:25" s="1088" customFormat="1">
      <c r="B404" s="1191"/>
      <c r="C404" s="1184" t="s">
        <v>34</v>
      </c>
      <c r="D404" s="1440">
        <v>9</v>
      </c>
      <c r="E404" s="1085" t="s">
        <v>291</v>
      </c>
      <c r="F404" s="1258">
        <f t="shared" si="83"/>
        <v>0</v>
      </c>
      <c r="G404" s="1258">
        <f t="shared" si="86"/>
        <v>0</v>
      </c>
      <c r="H404" s="1238"/>
      <c r="I404" s="1239"/>
      <c r="J404" s="1239"/>
      <c r="K404" s="1239"/>
      <c r="L404" s="1239"/>
      <c r="M404" s="1258">
        <f t="shared" si="84"/>
        <v>0</v>
      </c>
      <c r="N404" s="1238"/>
      <c r="O404" s="1240"/>
      <c r="P404" s="1238"/>
      <c r="Q404" s="1238"/>
      <c r="R404" s="1238"/>
      <c r="S404" s="1238"/>
      <c r="T404" s="1238"/>
      <c r="U404" s="1238"/>
      <c r="V404" s="1240"/>
      <c r="W404" s="1238"/>
      <c r="X404" s="1240"/>
      <c r="Y404" s="1240"/>
    </row>
    <row r="405" spans="1:25" s="1088" customFormat="1">
      <c r="A405" s="1088">
        <v>11</v>
      </c>
      <c r="B405" s="1192">
        <v>11</v>
      </c>
      <c r="C405" s="1184" t="s">
        <v>34</v>
      </c>
      <c r="D405" s="1440">
        <v>10</v>
      </c>
      <c r="E405" s="1085" t="s">
        <v>312</v>
      </c>
      <c r="F405" s="1258">
        <f t="shared" si="83"/>
        <v>3742086</v>
      </c>
      <c r="G405" s="1258">
        <f t="shared" si="86"/>
        <v>2713000</v>
      </c>
      <c r="H405" s="1238">
        <f>SUM(H406:H427)</f>
        <v>2713000</v>
      </c>
      <c r="I405" s="1239">
        <f>SUM(I406:I427)</f>
        <v>0</v>
      </c>
      <c r="J405" s="1239">
        <f>SUM(J406:J427)</f>
        <v>0</v>
      </c>
      <c r="K405" s="1239">
        <f>SUM(K406:K427)</f>
        <v>0</v>
      </c>
      <c r="L405" s="1239">
        <f>SUM(L406:L427)</f>
        <v>0</v>
      </c>
      <c r="M405" s="1258">
        <f t="shared" si="84"/>
        <v>1029086</v>
      </c>
      <c r="N405" s="1238">
        <f t="shared" ref="N405:Y405" si="88">SUM(N406:N427)</f>
        <v>179400</v>
      </c>
      <c r="O405" s="1238">
        <f t="shared" si="88"/>
        <v>36000</v>
      </c>
      <c r="P405" s="1238">
        <f t="shared" si="88"/>
        <v>2400</v>
      </c>
      <c r="Q405" s="1238">
        <f t="shared" si="88"/>
        <v>43390</v>
      </c>
      <c r="R405" s="1238">
        <f t="shared" si="88"/>
        <v>63376</v>
      </c>
      <c r="S405" s="1238">
        <f t="shared" si="88"/>
        <v>72110</v>
      </c>
      <c r="T405" s="1238">
        <f t="shared" si="88"/>
        <v>90500</v>
      </c>
      <c r="U405" s="1238">
        <f t="shared" si="88"/>
        <v>106130</v>
      </c>
      <c r="V405" s="1238">
        <f t="shared" si="88"/>
        <v>230620</v>
      </c>
      <c r="W405" s="1238">
        <f t="shared" si="88"/>
        <v>28000</v>
      </c>
      <c r="X405" s="1238">
        <f t="shared" si="88"/>
        <v>94116</v>
      </c>
      <c r="Y405" s="1238">
        <f t="shared" si="88"/>
        <v>83044</v>
      </c>
    </row>
    <row r="406" spans="1:25" s="1088" customFormat="1" ht="108">
      <c r="B406" s="1191"/>
      <c r="C406" s="1184" t="s">
        <v>34</v>
      </c>
      <c r="D406" s="1440">
        <v>11</v>
      </c>
      <c r="E406" s="1297" t="s">
        <v>712</v>
      </c>
      <c r="F406" s="1258">
        <f t="shared" si="83"/>
        <v>690614</v>
      </c>
      <c r="G406" s="1258">
        <f t="shared" si="86"/>
        <v>550000</v>
      </c>
      <c r="H406" s="1269">
        <v>550000</v>
      </c>
      <c r="I406" s="1239"/>
      <c r="J406" s="1239"/>
      <c r="K406" s="1239"/>
      <c r="L406" s="1239"/>
      <c r="M406" s="1258">
        <f t="shared" si="84"/>
        <v>140614</v>
      </c>
      <c r="N406" s="1240">
        <v>31320</v>
      </c>
      <c r="O406" s="1240">
        <v>3500</v>
      </c>
      <c r="P406" s="1238"/>
      <c r="Q406" s="1240">
        <v>4180</v>
      </c>
      <c r="R406" s="1238">
        <v>22200</v>
      </c>
      <c r="S406" s="1238"/>
      <c r="T406" s="1238">
        <v>35500</v>
      </c>
      <c r="U406" s="1240">
        <v>7790</v>
      </c>
      <c r="V406" s="1240">
        <v>14900</v>
      </c>
      <c r="W406" s="1255">
        <v>6670</v>
      </c>
      <c r="X406" s="1238">
        <v>2160</v>
      </c>
      <c r="Y406" s="1238">
        <v>12394</v>
      </c>
    </row>
    <row r="407" spans="1:25" s="1088" customFormat="1" ht="48">
      <c r="B407" s="1092"/>
      <c r="C407" s="1184" t="s">
        <v>34</v>
      </c>
      <c r="D407" s="1440">
        <v>12</v>
      </c>
      <c r="E407" s="1193" t="s">
        <v>135</v>
      </c>
      <c r="F407" s="1258"/>
      <c r="G407" s="1258"/>
      <c r="H407" s="1255"/>
      <c r="I407" s="1239"/>
      <c r="J407" s="1239"/>
      <c r="K407" s="1239"/>
      <c r="L407" s="1239"/>
      <c r="M407" s="1258"/>
      <c r="N407" s="1240"/>
      <c r="O407" s="1238"/>
      <c r="P407" s="1238"/>
      <c r="Q407" s="1238"/>
      <c r="R407" s="1238"/>
      <c r="S407" s="1238"/>
      <c r="T407" s="1238"/>
      <c r="U407" s="1238"/>
      <c r="V407" s="1238"/>
      <c r="W407" s="1238"/>
      <c r="X407" s="1238"/>
      <c r="Y407" s="1238"/>
    </row>
    <row r="408" spans="1:25" s="1088" customFormat="1" ht="24">
      <c r="B408" s="1092"/>
      <c r="C408" s="1184" t="s">
        <v>34</v>
      </c>
      <c r="D408" s="1440">
        <v>13</v>
      </c>
      <c r="E408" s="1195" t="s">
        <v>366</v>
      </c>
      <c r="F408" s="1258">
        <f t="shared" si="83"/>
        <v>1243036</v>
      </c>
      <c r="G408" s="1258">
        <f t="shared" si="86"/>
        <v>1000000</v>
      </c>
      <c r="H408" s="1255">
        <v>1000000</v>
      </c>
      <c r="I408" s="1239"/>
      <c r="J408" s="1239"/>
      <c r="K408" s="1239"/>
      <c r="L408" s="1239"/>
      <c r="M408" s="1258">
        <f t="shared" si="84"/>
        <v>243036</v>
      </c>
      <c r="N408" s="1238"/>
      <c r="O408" s="1240">
        <v>30000</v>
      </c>
      <c r="P408" s="1238"/>
      <c r="Q408" s="1238"/>
      <c r="R408" s="1238"/>
      <c r="S408" s="1238">
        <v>64320</v>
      </c>
      <c r="T408" s="1238"/>
      <c r="U408" s="1240">
        <f>13440+69680</f>
        <v>83120</v>
      </c>
      <c r="V408" s="1240"/>
      <c r="W408" s="1255">
        <v>2880</v>
      </c>
      <c r="X408" s="1238">
        <v>31356</v>
      </c>
      <c r="Y408" s="1238">
        <f>26800+4560</f>
        <v>31360</v>
      </c>
    </row>
    <row r="409" spans="1:25" s="1088" customFormat="1" ht="24">
      <c r="B409" s="1092"/>
      <c r="C409" s="1184" t="s">
        <v>34</v>
      </c>
      <c r="D409" s="1440">
        <v>14</v>
      </c>
      <c r="E409" s="1195" t="s">
        <v>367</v>
      </c>
      <c r="F409" s="1258">
        <f t="shared" si="83"/>
        <v>8000</v>
      </c>
      <c r="G409" s="1258">
        <f t="shared" si="86"/>
        <v>8000</v>
      </c>
      <c r="H409" s="1255">
        <v>8000</v>
      </c>
      <c r="I409" s="1239"/>
      <c r="J409" s="1239"/>
      <c r="K409" s="1239"/>
      <c r="L409" s="1239"/>
      <c r="M409" s="1258">
        <f t="shared" si="84"/>
        <v>0</v>
      </c>
      <c r="N409" s="1238"/>
      <c r="O409" s="1238"/>
      <c r="P409" s="1238"/>
      <c r="Q409" s="1238"/>
      <c r="R409" s="1238"/>
      <c r="S409" s="1238"/>
      <c r="T409" s="1238"/>
      <c r="U409" s="1238"/>
      <c r="V409" s="1238"/>
      <c r="W409" s="1238"/>
      <c r="X409" s="1238"/>
      <c r="Y409" s="1238"/>
    </row>
    <row r="410" spans="1:25" s="1088" customFormat="1">
      <c r="B410" s="1092"/>
      <c r="C410" s="1184" t="s">
        <v>34</v>
      </c>
      <c r="D410" s="1440">
        <v>15</v>
      </c>
      <c r="E410" s="1106" t="s">
        <v>368</v>
      </c>
      <c r="F410" s="1258">
        <f t="shared" si="83"/>
        <v>20750</v>
      </c>
      <c r="G410" s="1258">
        <f t="shared" si="86"/>
        <v>20000</v>
      </c>
      <c r="H410" s="1255">
        <v>20000</v>
      </c>
      <c r="I410" s="1239"/>
      <c r="J410" s="1239"/>
      <c r="K410" s="1239"/>
      <c r="L410" s="1239"/>
      <c r="M410" s="1258">
        <f t="shared" si="84"/>
        <v>750</v>
      </c>
      <c r="N410" s="1240"/>
      <c r="O410" s="1240"/>
      <c r="P410" s="1240"/>
      <c r="Q410" s="1240"/>
      <c r="R410" s="1240"/>
      <c r="S410" s="1240"/>
      <c r="T410" s="1240"/>
      <c r="U410" s="1240"/>
      <c r="V410" s="1240"/>
      <c r="W410" s="1240"/>
      <c r="X410" s="1240"/>
      <c r="Y410" s="1238">
        <v>750</v>
      </c>
    </row>
    <row r="411" spans="1:25" s="1088" customFormat="1">
      <c r="B411" s="1092"/>
      <c r="C411" s="1184" t="s">
        <v>34</v>
      </c>
      <c r="D411" s="1440">
        <v>16</v>
      </c>
      <c r="E411" s="1106" t="s">
        <v>369</v>
      </c>
      <c r="F411" s="1258">
        <f t="shared" si="83"/>
        <v>35000</v>
      </c>
      <c r="G411" s="1258">
        <f t="shared" si="86"/>
        <v>35000</v>
      </c>
      <c r="H411" s="1255">
        <v>35000</v>
      </c>
      <c r="I411" s="1239"/>
      <c r="J411" s="1239"/>
      <c r="K411" s="1239"/>
      <c r="L411" s="1239"/>
      <c r="M411" s="1258">
        <f t="shared" si="84"/>
        <v>0</v>
      </c>
      <c r="N411" s="1240"/>
      <c r="O411" s="1240"/>
      <c r="P411" s="1238"/>
      <c r="Q411" s="1240"/>
      <c r="R411" s="1240"/>
      <c r="S411" s="1240"/>
      <c r="T411" s="1240"/>
      <c r="U411" s="1240"/>
      <c r="V411" s="1240"/>
      <c r="W411" s="1240"/>
      <c r="X411" s="1240"/>
      <c r="Y411" s="1238"/>
    </row>
    <row r="412" spans="1:25" s="1088" customFormat="1" ht="24">
      <c r="B412" s="1092"/>
      <c r="C412" s="1184" t="s">
        <v>34</v>
      </c>
      <c r="D412" s="1440">
        <v>17</v>
      </c>
      <c r="E412" s="1194" t="s">
        <v>370</v>
      </c>
      <c r="F412" s="1258"/>
      <c r="G412" s="1258"/>
      <c r="H412" s="1269"/>
      <c r="I412" s="1239"/>
      <c r="J412" s="1239"/>
      <c r="K412" s="1239"/>
      <c r="L412" s="1239"/>
      <c r="M412" s="1258"/>
      <c r="N412" s="1240"/>
      <c r="O412" s="1240"/>
      <c r="P412" s="1238"/>
      <c r="Q412" s="1240"/>
      <c r="R412" s="1240"/>
      <c r="S412" s="1240"/>
      <c r="T412" s="1240"/>
      <c r="U412" s="1240"/>
      <c r="V412" s="1240"/>
      <c r="W412" s="1240"/>
      <c r="X412" s="1240"/>
      <c r="Y412" s="1238"/>
    </row>
    <row r="413" spans="1:25" s="1088" customFormat="1" ht="24">
      <c r="B413" s="1092"/>
      <c r="C413" s="1184" t="s">
        <v>34</v>
      </c>
      <c r="D413" s="1440">
        <v>18</v>
      </c>
      <c r="E413" s="1194" t="s">
        <v>371</v>
      </c>
      <c r="F413" s="1258"/>
      <c r="G413" s="1258"/>
      <c r="H413" s="1269"/>
      <c r="I413" s="1239"/>
      <c r="J413" s="1239"/>
      <c r="K413" s="1239"/>
      <c r="L413" s="1239"/>
      <c r="M413" s="1258"/>
      <c r="N413" s="1240"/>
      <c r="O413" s="1240"/>
      <c r="P413" s="1238"/>
      <c r="Q413" s="1240"/>
      <c r="R413" s="1240"/>
      <c r="S413" s="1240"/>
      <c r="T413" s="1240"/>
      <c r="U413" s="1240"/>
      <c r="V413" s="1240"/>
      <c r="W413" s="1240"/>
      <c r="X413" s="1240"/>
      <c r="Y413" s="1238"/>
    </row>
    <row r="414" spans="1:25" s="1088" customFormat="1" ht="48">
      <c r="B414" s="1092"/>
      <c r="C414" s="1184" t="s">
        <v>34</v>
      </c>
      <c r="D414" s="1440">
        <v>19</v>
      </c>
      <c r="E414" s="1195" t="s">
        <v>372</v>
      </c>
      <c r="F414" s="1258">
        <f t="shared" si="83"/>
        <v>585360</v>
      </c>
      <c r="G414" s="1258">
        <f t="shared" si="86"/>
        <v>300000</v>
      </c>
      <c r="H414" s="1269">
        <v>300000</v>
      </c>
      <c r="I414" s="1239"/>
      <c r="J414" s="1239"/>
      <c r="K414" s="1239"/>
      <c r="L414" s="1239"/>
      <c r="M414" s="1258">
        <f t="shared" si="84"/>
        <v>285360</v>
      </c>
      <c r="N414" s="1240">
        <v>148080</v>
      </c>
      <c r="O414" s="1240"/>
      <c r="P414" s="1238"/>
      <c r="Q414" s="1240"/>
      <c r="R414" s="1240"/>
      <c r="S414" s="1240"/>
      <c r="T414" s="1240"/>
      <c r="U414" s="1240"/>
      <c r="V414" s="1240">
        <v>135220</v>
      </c>
      <c r="W414" s="1240"/>
      <c r="X414" s="1240"/>
      <c r="Y414" s="1238">
        <v>2060</v>
      </c>
    </row>
    <row r="415" spans="1:25" s="1088" customFormat="1" ht="96">
      <c r="B415" s="1092"/>
      <c r="C415" s="1184" t="s">
        <v>34</v>
      </c>
      <c r="D415" s="1440">
        <v>20</v>
      </c>
      <c r="E415" s="1195" t="s">
        <v>624</v>
      </c>
      <c r="F415" s="1258">
        <f t="shared" si="83"/>
        <v>186466</v>
      </c>
      <c r="G415" s="1258">
        <f t="shared" si="86"/>
        <v>150000</v>
      </c>
      <c r="H415" s="1255">
        <v>150000</v>
      </c>
      <c r="I415" s="1239"/>
      <c r="J415" s="1239"/>
      <c r="K415" s="1239"/>
      <c r="L415" s="1239"/>
      <c r="M415" s="1258">
        <f t="shared" si="84"/>
        <v>36466</v>
      </c>
      <c r="N415" s="1240"/>
      <c r="O415" s="1240"/>
      <c r="P415" s="1238"/>
      <c r="Q415" s="1240"/>
      <c r="R415" s="1240">
        <v>4176</v>
      </c>
      <c r="S415" s="1240">
        <v>7790</v>
      </c>
      <c r="T415" s="1240"/>
      <c r="U415" s="1240">
        <v>3520</v>
      </c>
      <c r="V415" s="1240">
        <v>10000</v>
      </c>
      <c r="W415" s="1240"/>
      <c r="X415" s="1240"/>
      <c r="Y415" s="1238">
        <v>10980</v>
      </c>
    </row>
    <row r="416" spans="1:25" s="1088" customFormat="1" ht="24">
      <c r="B416" s="1092"/>
      <c r="C416" s="1184" t="s">
        <v>34</v>
      </c>
      <c r="D416" s="1440">
        <v>21</v>
      </c>
      <c r="E416" s="1195" t="s">
        <v>374</v>
      </c>
      <c r="F416" s="1258">
        <f t="shared" si="83"/>
        <v>100410</v>
      </c>
      <c r="G416" s="1258">
        <f t="shared" si="86"/>
        <v>30000</v>
      </c>
      <c r="H416" s="1238">
        <v>30000</v>
      </c>
      <c r="I416" s="1239"/>
      <c r="J416" s="1239"/>
      <c r="K416" s="1239"/>
      <c r="L416" s="1239"/>
      <c r="M416" s="1258">
        <f t="shared" si="84"/>
        <v>70410</v>
      </c>
      <c r="N416" s="1240"/>
      <c r="O416" s="1240">
        <v>2500</v>
      </c>
      <c r="P416" s="1238">
        <v>2400</v>
      </c>
      <c r="Q416" s="1240">
        <v>5410</v>
      </c>
      <c r="R416" s="1240">
        <v>1600</v>
      </c>
      <c r="S416" s="1240"/>
      <c r="T416" s="1240">
        <v>20000</v>
      </c>
      <c r="U416" s="1238"/>
      <c r="V416" s="1240">
        <v>35000</v>
      </c>
      <c r="W416" s="1240"/>
      <c r="X416" s="1240">
        <v>3000</v>
      </c>
      <c r="Y416" s="1238">
        <v>500</v>
      </c>
    </row>
    <row r="417" spans="1:25" s="1088" customFormat="1">
      <c r="B417" s="1092"/>
      <c r="C417" s="1184" t="s">
        <v>34</v>
      </c>
      <c r="D417" s="1440">
        <v>22</v>
      </c>
      <c r="E417" s="1106" t="s">
        <v>375</v>
      </c>
      <c r="F417" s="1258">
        <f t="shared" si="83"/>
        <v>20000</v>
      </c>
      <c r="G417" s="1258">
        <f t="shared" si="86"/>
        <v>20000</v>
      </c>
      <c r="H417" s="1238">
        <v>20000</v>
      </c>
      <c r="I417" s="1239"/>
      <c r="J417" s="1239"/>
      <c r="K417" s="1239"/>
      <c r="L417" s="1239"/>
      <c r="M417" s="1258">
        <f t="shared" si="84"/>
        <v>0</v>
      </c>
      <c r="N417" s="1240"/>
      <c r="O417" s="1240"/>
      <c r="P417" s="1238"/>
      <c r="Q417" s="1240"/>
      <c r="R417" s="1240"/>
      <c r="S417" s="1240"/>
      <c r="T417" s="1240"/>
      <c r="U417" s="1240"/>
      <c r="V417" s="1240"/>
      <c r="W417" s="1240"/>
      <c r="X417" s="1240"/>
      <c r="Y417" s="1238"/>
    </row>
    <row r="418" spans="1:25" s="1088" customFormat="1" ht="36">
      <c r="B418" s="1092"/>
      <c r="C418" s="1184" t="s">
        <v>34</v>
      </c>
      <c r="D418" s="1440">
        <v>23</v>
      </c>
      <c r="E418" s="1139" t="s">
        <v>713</v>
      </c>
      <c r="F418" s="1258"/>
      <c r="G418" s="1258"/>
      <c r="H418" s="1238"/>
      <c r="I418" s="1239"/>
      <c r="J418" s="1239"/>
      <c r="K418" s="1239"/>
      <c r="L418" s="1239"/>
      <c r="M418" s="1258"/>
      <c r="N418" s="1240"/>
      <c r="O418" s="1240"/>
      <c r="P418" s="1238"/>
      <c r="Q418" s="1240"/>
      <c r="R418" s="1240"/>
      <c r="S418" s="1240"/>
      <c r="T418" s="1240"/>
      <c r="U418" s="1240"/>
      <c r="V418" s="1240"/>
      <c r="W418" s="1240"/>
      <c r="X418" s="1240"/>
      <c r="Y418" s="1238"/>
    </row>
    <row r="419" spans="1:25" s="1088" customFormat="1" ht="24">
      <c r="B419" s="1092"/>
      <c r="C419" s="1184" t="s">
        <v>34</v>
      </c>
      <c r="D419" s="1440">
        <v>24</v>
      </c>
      <c r="E419" s="1195" t="s">
        <v>377</v>
      </c>
      <c r="F419" s="1258"/>
      <c r="G419" s="1258"/>
      <c r="H419" s="1238"/>
      <c r="I419" s="1239"/>
      <c r="J419" s="1239"/>
      <c r="K419" s="1239"/>
      <c r="L419" s="1239"/>
      <c r="M419" s="1258"/>
      <c r="N419" s="1240"/>
      <c r="O419" s="1240"/>
      <c r="P419" s="1238"/>
      <c r="Q419" s="1240"/>
      <c r="R419" s="1240"/>
      <c r="S419" s="1240"/>
      <c r="T419" s="1240"/>
      <c r="U419" s="1240"/>
      <c r="V419" s="1240"/>
      <c r="W419" s="1240"/>
      <c r="X419" s="1240"/>
      <c r="Y419" s="1238"/>
    </row>
    <row r="420" spans="1:25" s="1088" customFormat="1" ht="48">
      <c r="B420" s="1092"/>
      <c r="C420" s="1184" t="s">
        <v>34</v>
      </c>
      <c r="D420" s="1440">
        <v>25</v>
      </c>
      <c r="E420" s="1194" t="s">
        <v>378</v>
      </c>
      <c r="F420" s="1258"/>
      <c r="G420" s="1258"/>
      <c r="H420" s="1238"/>
      <c r="I420" s="1239"/>
      <c r="J420" s="1239"/>
      <c r="K420" s="1239"/>
      <c r="L420" s="1239"/>
      <c r="M420" s="1258"/>
      <c r="N420" s="1238"/>
      <c r="O420" s="1238"/>
      <c r="P420" s="1238"/>
      <c r="Q420" s="1238"/>
      <c r="R420" s="1238"/>
      <c r="S420" s="1238"/>
      <c r="T420" s="1238"/>
      <c r="U420" s="1238"/>
      <c r="V420" s="1238"/>
      <c r="W420" s="1238"/>
      <c r="X420" s="1238"/>
      <c r="Y420" s="1238"/>
    </row>
    <row r="421" spans="1:25" s="1088" customFormat="1" ht="36">
      <c r="B421" s="1092"/>
      <c r="C421" s="1184" t="s">
        <v>34</v>
      </c>
      <c r="D421" s="1440">
        <v>26</v>
      </c>
      <c r="E421" s="1195" t="s">
        <v>379</v>
      </c>
      <c r="F421" s="1258">
        <f t="shared" si="83"/>
        <v>150000</v>
      </c>
      <c r="G421" s="1258">
        <f t="shared" si="86"/>
        <v>150000</v>
      </c>
      <c r="H421" s="1238">
        <v>150000</v>
      </c>
      <c r="I421" s="1239"/>
      <c r="J421" s="1239"/>
      <c r="K421" s="1239"/>
      <c r="L421" s="1239"/>
      <c r="M421" s="1258">
        <f t="shared" si="84"/>
        <v>0</v>
      </c>
      <c r="N421" s="1240"/>
      <c r="O421" s="1240"/>
      <c r="P421" s="1238"/>
      <c r="Q421" s="1240"/>
      <c r="R421" s="1240"/>
      <c r="S421" s="1240"/>
      <c r="T421" s="1240"/>
      <c r="U421" s="1240"/>
      <c r="V421" s="1240"/>
      <c r="W421" s="1240"/>
      <c r="X421" s="1240"/>
      <c r="Y421" s="1238"/>
    </row>
    <row r="422" spans="1:25" s="1088" customFormat="1" ht="36">
      <c r="B422" s="1092"/>
      <c r="C422" s="1184" t="s">
        <v>34</v>
      </c>
      <c r="D422" s="1440">
        <v>27</v>
      </c>
      <c r="E422" s="1298" t="s">
        <v>380</v>
      </c>
      <c r="F422" s="1258">
        <f t="shared" si="83"/>
        <v>150000</v>
      </c>
      <c r="G422" s="1258">
        <f t="shared" si="86"/>
        <v>150000</v>
      </c>
      <c r="H422" s="1238">
        <v>150000</v>
      </c>
      <c r="I422" s="1239"/>
      <c r="J422" s="1239"/>
      <c r="K422" s="1239"/>
      <c r="L422" s="1239"/>
      <c r="M422" s="1258">
        <f t="shared" si="84"/>
        <v>0</v>
      </c>
      <c r="N422" s="1240"/>
      <c r="O422" s="1240"/>
      <c r="P422" s="1238"/>
      <c r="Q422" s="1240"/>
      <c r="R422" s="1240"/>
      <c r="S422" s="1240"/>
      <c r="T422" s="1240"/>
      <c r="U422" s="1240"/>
      <c r="V422" s="1240"/>
      <c r="W422" s="1240"/>
      <c r="X422" s="1240"/>
      <c r="Y422" s="1238"/>
    </row>
    <row r="423" spans="1:25" s="1088" customFormat="1" ht="24">
      <c r="B423" s="1196"/>
      <c r="C423" s="1184" t="s">
        <v>34</v>
      </c>
      <c r="D423" s="1440">
        <v>28</v>
      </c>
      <c r="E423" s="1197" t="s">
        <v>714</v>
      </c>
      <c r="F423" s="1258"/>
      <c r="G423" s="1258"/>
      <c r="H423" s="1238"/>
      <c r="I423" s="1239"/>
      <c r="J423" s="1239"/>
      <c r="K423" s="1239"/>
      <c r="L423" s="1239"/>
      <c r="M423" s="1258"/>
      <c r="N423" s="1240"/>
      <c r="O423" s="1240"/>
      <c r="P423" s="1238"/>
      <c r="Q423" s="1240"/>
      <c r="R423" s="1240"/>
      <c r="S423" s="1240"/>
      <c r="T423" s="1240"/>
      <c r="U423" s="1240"/>
      <c r="V423" s="1240"/>
      <c r="W423" s="1240"/>
      <c r="X423" s="1240"/>
      <c r="Y423" s="1238"/>
    </row>
    <row r="424" spans="1:25" s="1088" customFormat="1">
      <c r="B424" s="1092"/>
      <c r="C424" s="1184" t="s">
        <v>34</v>
      </c>
      <c r="D424" s="1440">
        <v>29</v>
      </c>
      <c r="E424" s="1299" t="s">
        <v>382</v>
      </c>
      <c r="F424" s="1258">
        <f t="shared" si="83"/>
        <v>120650</v>
      </c>
      <c r="G424" s="1258">
        <f t="shared" si="86"/>
        <v>50000</v>
      </c>
      <c r="H424" s="1238">
        <v>50000</v>
      </c>
      <c r="I424" s="1239"/>
      <c r="J424" s="1239"/>
      <c r="K424" s="1239"/>
      <c r="L424" s="1239"/>
      <c r="M424" s="1258">
        <f t="shared" si="84"/>
        <v>70650</v>
      </c>
      <c r="N424" s="1238"/>
      <c r="O424" s="1238"/>
      <c r="P424" s="1238"/>
      <c r="Q424" s="1240">
        <v>12800</v>
      </c>
      <c r="R424" s="1238">
        <v>5400</v>
      </c>
      <c r="S424" s="1238"/>
      <c r="T424" s="1238">
        <v>8000</v>
      </c>
      <c r="U424" s="1240">
        <v>2700</v>
      </c>
      <c r="V424" s="1238">
        <v>6000</v>
      </c>
      <c r="W424" s="1255">
        <v>5950</v>
      </c>
      <c r="X424" s="1238">
        <v>22800</v>
      </c>
      <c r="Y424" s="1238">
        <v>7000</v>
      </c>
    </row>
    <row r="425" spans="1:25" s="1088" customFormat="1">
      <c r="B425" s="1092"/>
      <c r="C425" s="1184" t="s">
        <v>34</v>
      </c>
      <c r="D425" s="1440">
        <v>30</v>
      </c>
      <c r="E425" s="1299" t="s">
        <v>383</v>
      </c>
      <c r="F425" s="1258">
        <f t="shared" si="83"/>
        <v>431800</v>
      </c>
      <c r="G425" s="1258">
        <f t="shared" si="86"/>
        <v>250000</v>
      </c>
      <c r="H425" s="1238">
        <v>250000</v>
      </c>
      <c r="I425" s="1239"/>
      <c r="J425" s="1239"/>
      <c r="K425" s="1239"/>
      <c r="L425" s="1239"/>
      <c r="M425" s="1258">
        <f t="shared" si="84"/>
        <v>181800</v>
      </c>
      <c r="N425" s="1238"/>
      <c r="O425" s="1238"/>
      <c r="P425" s="1238"/>
      <c r="Q425" s="1238">
        <v>21000</v>
      </c>
      <c r="R425" s="1238">
        <v>30000</v>
      </c>
      <c r="S425" s="1238"/>
      <c r="T425" s="1238">
        <v>27000</v>
      </c>
      <c r="U425" s="1240">
        <v>9000</v>
      </c>
      <c r="V425" s="1238">
        <v>29500</v>
      </c>
      <c r="W425" s="1255">
        <v>12500</v>
      </c>
      <c r="X425" s="1238">
        <v>34800</v>
      </c>
      <c r="Y425" s="1238">
        <v>18000</v>
      </c>
    </row>
    <row r="426" spans="1:25" s="1088" customFormat="1" ht="48">
      <c r="B426" s="1092"/>
      <c r="C426" s="1184" t="s">
        <v>34</v>
      </c>
      <c r="D426" s="1440">
        <v>31</v>
      </c>
      <c r="E426" s="1198" t="s">
        <v>384</v>
      </c>
      <c r="F426" s="1258"/>
      <c r="G426" s="1258"/>
      <c r="H426" s="1238"/>
      <c r="I426" s="1239"/>
      <c r="J426" s="1239"/>
      <c r="K426" s="1239"/>
      <c r="L426" s="1239"/>
      <c r="M426" s="1258"/>
      <c r="N426" s="1240"/>
      <c r="O426" s="1238"/>
      <c r="P426" s="1238"/>
      <c r="Q426" s="1238"/>
      <c r="R426" s="1238"/>
      <c r="S426" s="1238"/>
      <c r="T426" s="1238"/>
      <c r="U426" s="1238"/>
      <c r="V426" s="1238"/>
      <c r="W426" s="1238"/>
      <c r="X426" s="1238"/>
      <c r="Y426" s="1238"/>
    </row>
    <row r="427" spans="1:25" s="1088" customFormat="1" ht="36">
      <c r="B427" s="1092"/>
      <c r="C427" s="1184" t="s">
        <v>34</v>
      </c>
      <c r="D427" s="1440">
        <v>32</v>
      </c>
      <c r="E427" s="1199" t="s">
        <v>716</v>
      </c>
      <c r="F427" s="1258"/>
      <c r="G427" s="1258"/>
      <c r="H427" s="1238"/>
      <c r="I427" s="1239"/>
      <c r="J427" s="1239"/>
      <c r="K427" s="1239"/>
      <c r="L427" s="1239"/>
      <c r="M427" s="1258"/>
      <c r="N427" s="1238"/>
      <c r="O427" s="1238"/>
      <c r="P427" s="1238"/>
      <c r="Q427" s="1238"/>
      <c r="R427" s="1238"/>
      <c r="S427" s="1238"/>
      <c r="T427" s="1238"/>
      <c r="U427" s="1238"/>
      <c r="V427" s="1238"/>
      <c r="W427" s="1238"/>
      <c r="X427" s="1238"/>
      <c r="Y427" s="1238"/>
    </row>
    <row r="428" spans="1:25" s="1075" customFormat="1" ht="24">
      <c r="A428" s="1075">
        <v>12</v>
      </c>
      <c r="B428" s="1200">
        <v>12</v>
      </c>
      <c r="C428" s="1172" t="s">
        <v>34</v>
      </c>
      <c r="D428" s="1438"/>
      <c r="E428" s="1300" t="s">
        <v>22</v>
      </c>
      <c r="F428" s="1249">
        <f t="shared" si="83"/>
        <v>1879464.2</v>
      </c>
      <c r="G428" s="1249">
        <f t="shared" si="86"/>
        <v>380000</v>
      </c>
      <c r="H428" s="1233">
        <f>SUM(H429:H439)</f>
        <v>380000</v>
      </c>
      <c r="I428" s="1234">
        <f t="shared" ref="I428:Y428" si="89">SUM(I429:I439)</f>
        <v>0</v>
      </c>
      <c r="J428" s="1234">
        <f t="shared" si="89"/>
        <v>0</v>
      </c>
      <c r="K428" s="1234">
        <f t="shared" si="89"/>
        <v>0</v>
      </c>
      <c r="L428" s="1234">
        <f t="shared" si="89"/>
        <v>0</v>
      </c>
      <c r="M428" s="1249">
        <f t="shared" si="84"/>
        <v>1499464.2</v>
      </c>
      <c r="N428" s="1233">
        <f t="shared" si="89"/>
        <v>485643</v>
      </c>
      <c r="O428" s="1233">
        <f t="shared" si="89"/>
        <v>37314</v>
      </c>
      <c r="P428" s="1233">
        <f t="shared" si="89"/>
        <v>20344</v>
      </c>
      <c r="Q428" s="1233">
        <f t="shared" si="89"/>
        <v>109438</v>
      </c>
      <c r="R428" s="1233">
        <f t="shared" si="89"/>
        <v>138000</v>
      </c>
      <c r="S428" s="1233">
        <f t="shared" si="89"/>
        <v>41214.199999999997</v>
      </c>
      <c r="T428" s="1233">
        <f t="shared" si="89"/>
        <v>109104</v>
      </c>
      <c r="U428" s="1233">
        <f t="shared" si="89"/>
        <v>178678</v>
      </c>
      <c r="V428" s="1233">
        <f t="shared" si="89"/>
        <v>152189</v>
      </c>
      <c r="W428" s="1233">
        <f t="shared" si="89"/>
        <v>110300</v>
      </c>
      <c r="X428" s="1233">
        <f t="shared" si="89"/>
        <v>57500</v>
      </c>
      <c r="Y428" s="1233">
        <f t="shared" si="89"/>
        <v>59740</v>
      </c>
    </row>
    <row r="429" spans="1:25" s="1088" customFormat="1" ht="60">
      <c r="B429" s="1127"/>
      <c r="C429" s="1184" t="s">
        <v>34</v>
      </c>
      <c r="D429" s="1440">
        <v>1</v>
      </c>
      <c r="E429" s="1201" t="s">
        <v>715</v>
      </c>
      <c r="F429" s="1258"/>
      <c r="G429" s="1258"/>
      <c r="H429" s="1240"/>
      <c r="I429" s="1239"/>
      <c r="J429" s="1239"/>
      <c r="K429" s="1239"/>
      <c r="L429" s="1239"/>
      <c r="M429" s="1258"/>
      <c r="N429" s="1240"/>
      <c r="O429" s="1240"/>
      <c r="P429" s="1238"/>
      <c r="Q429" s="1240"/>
      <c r="R429" s="1240"/>
      <c r="S429" s="1240"/>
      <c r="T429" s="1240"/>
      <c r="U429" s="1240"/>
      <c r="V429" s="1240"/>
      <c r="W429" s="1240"/>
      <c r="X429" s="1240"/>
      <c r="Y429" s="1240"/>
    </row>
    <row r="430" spans="1:25" s="1088" customFormat="1" ht="36">
      <c r="B430" s="1127"/>
      <c r="C430" s="1184" t="s">
        <v>34</v>
      </c>
      <c r="D430" s="1440">
        <v>2</v>
      </c>
      <c r="E430" s="1301" t="s">
        <v>503</v>
      </c>
      <c r="F430" s="1258">
        <f t="shared" si="83"/>
        <v>41280</v>
      </c>
      <c r="G430" s="1258">
        <f t="shared" si="86"/>
        <v>41280</v>
      </c>
      <c r="H430" s="1240">
        <v>41280</v>
      </c>
      <c r="I430" s="1239"/>
      <c r="J430" s="1239"/>
      <c r="K430" s="1239"/>
      <c r="L430" s="1239"/>
      <c r="M430" s="1258">
        <f t="shared" si="84"/>
        <v>0</v>
      </c>
      <c r="N430" s="1240"/>
      <c r="O430" s="1240"/>
      <c r="P430" s="1238"/>
      <c r="Q430" s="1240"/>
      <c r="R430" s="1240"/>
      <c r="S430" s="1240"/>
      <c r="T430" s="1240"/>
      <c r="U430" s="1240"/>
      <c r="V430" s="1240"/>
      <c r="W430" s="1240"/>
      <c r="X430" s="1240"/>
      <c r="Y430" s="1240"/>
    </row>
    <row r="431" spans="1:25" s="1088" customFormat="1" ht="60">
      <c r="B431" s="1127"/>
      <c r="C431" s="1184" t="s">
        <v>34</v>
      </c>
      <c r="D431" s="1440">
        <v>3</v>
      </c>
      <c r="E431" s="1198" t="s">
        <v>54</v>
      </c>
      <c r="F431" s="1258"/>
      <c r="G431" s="1258"/>
      <c r="H431" s="1240"/>
      <c r="I431" s="1239"/>
      <c r="J431" s="1239"/>
      <c r="K431" s="1239"/>
      <c r="L431" s="1239"/>
      <c r="M431" s="1258"/>
      <c r="N431" s="1240"/>
      <c r="O431" s="1240"/>
      <c r="P431" s="1238"/>
      <c r="Q431" s="1240"/>
      <c r="R431" s="1240"/>
      <c r="S431" s="1240"/>
      <c r="T431" s="1240"/>
      <c r="U431" s="1240"/>
      <c r="V431" s="1240"/>
      <c r="W431" s="1240"/>
      <c r="X431" s="1240"/>
      <c r="Y431" s="1240"/>
    </row>
    <row r="432" spans="1:25" s="1088" customFormat="1" ht="60">
      <c r="B432" s="1127"/>
      <c r="C432" s="1184" t="s">
        <v>34</v>
      </c>
      <c r="D432" s="1440">
        <v>4</v>
      </c>
      <c r="E432" s="1198" t="s">
        <v>55</v>
      </c>
      <c r="F432" s="1258"/>
      <c r="G432" s="1258"/>
      <c r="H432" s="1240"/>
      <c r="I432" s="1239"/>
      <c r="J432" s="1239"/>
      <c r="K432" s="1239"/>
      <c r="L432" s="1239"/>
      <c r="M432" s="1258"/>
      <c r="N432" s="1240"/>
      <c r="O432" s="1240"/>
      <c r="P432" s="1238"/>
      <c r="Q432" s="1240"/>
      <c r="R432" s="1240"/>
      <c r="S432" s="1240"/>
      <c r="T432" s="1240"/>
      <c r="U432" s="1240"/>
      <c r="V432" s="1240"/>
      <c r="W432" s="1240"/>
      <c r="X432" s="1240"/>
      <c r="Y432" s="1240"/>
    </row>
    <row r="433" spans="1:25" s="1088" customFormat="1" ht="24">
      <c r="B433" s="1127"/>
      <c r="C433" s="1184" t="s">
        <v>34</v>
      </c>
      <c r="D433" s="1440">
        <v>5</v>
      </c>
      <c r="E433" s="1202" t="s">
        <v>433</v>
      </c>
      <c r="F433" s="1258">
        <f t="shared" si="83"/>
        <v>276929</v>
      </c>
      <c r="G433" s="1258">
        <f t="shared" si="86"/>
        <v>157740</v>
      </c>
      <c r="H433" s="1240">
        <v>157740</v>
      </c>
      <c r="I433" s="1239"/>
      <c r="J433" s="1239"/>
      <c r="K433" s="1239"/>
      <c r="L433" s="1239"/>
      <c r="M433" s="1258">
        <f t="shared" si="84"/>
        <v>119189</v>
      </c>
      <c r="N433" s="1240"/>
      <c r="O433" s="1238"/>
      <c r="P433" s="1240"/>
      <c r="Q433" s="1240">
        <v>14720</v>
      </c>
      <c r="R433" s="1240">
        <v>10000</v>
      </c>
      <c r="S433" s="1240">
        <v>8680</v>
      </c>
      <c r="T433" s="1240">
        <v>3000</v>
      </c>
      <c r="U433" s="1240">
        <v>22380</v>
      </c>
      <c r="V433" s="1240">
        <v>44129</v>
      </c>
      <c r="W433" s="1240">
        <v>7500</v>
      </c>
      <c r="X433" s="1240">
        <v>1440</v>
      </c>
      <c r="Y433" s="1240">
        <v>7340</v>
      </c>
    </row>
    <row r="434" spans="1:25" s="1088" customFormat="1" ht="48">
      <c r="B434" s="1127"/>
      <c r="C434" s="1184" t="s">
        <v>34</v>
      </c>
      <c r="D434" s="1440">
        <v>6</v>
      </c>
      <c r="E434" s="1302" t="s">
        <v>504</v>
      </c>
      <c r="F434" s="1258">
        <f t="shared" si="83"/>
        <v>20000</v>
      </c>
      <c r="G434" s="1258">
        <f t="shared" si="86"/>
        <v>10000</v>
      </c>
      <c r="H434" s="1240">
        <v>10000</v>
      </c>
      <c r="I434" s="1239"/>
      <c r="J434" s="1239"/>
      <c r="K434" s="1239"/>
      <c r="L434" s="1239"/>
      <c r="M434" s="1258">
        <f t="shared" si="84"/>
        <v>10000</v>
      </c>
      <c r="N434" s="1240"/>
      <c r="O434" s="1240"/>
      <c r="P434" s="1238"/>
      <c r="Q434" s="1240">
        <v>10000</v>
      </c>
      <c r="R434" s="1240"/>
      <c r="S434" s="1240"/>
      <c r="T434" s="1240"/>
      <c r="U434" s="1240"/>
      <c r="V434" s="1240"/>
      <c r="W434" s="1240"/>
      <c r="X434" s="1240"/>
      <c r="Y434" s="1240"/>
    </row>
    <row r="435" spans="1:25" s="1088" customFormat="1" ht="24">
      <c r="B435" s="1127"/>
      <c r="C435" s="1184" t="s">
        <v>34</v>
      </c>
      <c r="D435" s="1440">
        <v>7</v>
      </c>
      <c r="E435" s="1302" t="s">
        <v>56</v>
      </c>
      <c r="F435" s="1258">
        <f t="shared" si="83"/>
        <v>111450</v>
      </c>
      <c r="G435" s="1258">
        <f t="shared" si="86"/>
        <v>70980</v>
      </c>
      <c r="H435" s="1240">
        <v>70980</v>
      </c>
      <c r="I435" s="1239"/>
      <c r="J435" s="1239"/>
      <c r="K435" s="1239"/>
      <c r="L435" s="1239"/>
      <c r="M435" s="1258">
        <f t="shared" si="84"/>
        <v>40470</v>
      </c>
      <c r="N435" s="1240">
        <v>6900</v>
      </c>
      <c r="O435" s="1240"/>
      <c r="P435" s="1238">
        <v>1180</v>
      </c>
      <c r="Q435" s="1240">
        <v>4600</v>
      </c>
      <c r="R435" s="1240">
        <v>3000</v>
      </c>
      <c r="S435" s="1240">
        <v>1270</v>
      </c>
      <c r="T435" s="1240"/>
      <c r="U435" s="1240">
        <v>3500</v>
      </c>
      <c r="V435" s="1240">
        <v>12760</v>
      </c>
      <c r="W435" s="1240">
        <v>2800</v>
      </c>
      <c r="X435" s="1240">
        <v>2160</v>
      </c>
      <c r="Y435" s="1240">
        <v>2300</v>
      </c>
    </row>
    <row r="436" spans="1:25" s="1088" customFormat="1" ht="24">
      <c r="B436" s="1127"/>
      <c r="C436" s="1184" t="s">
        <v>34</v>
      </c>
      <c r="D436" s="1440">
        <v>8</v>
      </c>
      <c r="E436" s="1302" t="s">
        <v>505</v>
      </c>
      <c r="F436" s="1258"/>
      <c r="G436" s="1258"/>
      <c r="H436" s="1240"/>
      <c r="I436" s="1239"/>
      <c r="J436" s="1239"/>
      <c r="K436" s="1239"/>
      <c r="L436" s="1239"/>
      <c r="M436" s="1258"/>
      <c r="N436" s="1240"/>
      <c r="O436" s="1240"/>
      <c r="P436" s="1238"/>
      <c r="Q436" s="1240"/>
      <c r="R436" s="1240"/>
      <c r="S436" s="1240"/>
      <c r="T436" s="1240"/>
      <c r="U436" s="1240"/>
      <c r="V436" s="1240"/>
      <c r="W436" s="1240"/>
      <c r="X436" s="1240"/>
      <c r="Y436" s="1240"/>
    </row>
    <row r="437" spans="1:25" s="1088" customFormat="1" ht="36">
      <c r="B437" s="1127"/>
      <c r="C437" s="1184" t="s">
        <v>34</v>
      </c>
      <c r="D437" s="1440">
        <v>9</v>
      </c>
      <c r="E437" s="1302" t="s">
        <v>506</v>
      </c>
      <c r="F437" s="1258">
        <f t="shared" si="83"/>
        <v>32704</v>
      </c>
      <c r="G437" s="1258">
        <f t="shared" si="86"/>
        <v>0</v>
      </c>
      <c r="H437" s="1238"/>
      <c r="I437" s="1239"/>
      <c r="J437" s="1239"/>
      <c r="K437" s="1239"/>
      <c r="L437" s="1239"/>
      <c r="M437" s="1258">
        <f t="shared" si="84"/>
        <v>32704</v>
      </c>
      <c r="N437" s="1238">
        <v>5540</v>
      </c>
      <c r="O437" s="1238">
        <v>8000</v>
      </c>
      <c r="P437" s="1238">
        <v>19164</v>
      </c>
      <c r="Q437" s="1238"/>
      <c r="R437" s="1238"/>
      <c r="S437" s="1238"/>
      <c r="T437" s="1238"/>
      <c r="U437" s="1238"/>
      <c r="V437" s="1238"/>
      <c r="W437" s="1238"/>
      <c r="X437" s="1238"/>
      <c r="Y437" s="1238"/>
    </row>
    <row r="438" spans="1:25" s="1088" customFormat="1">
      <c r="B438" s="1127"/>
      <c r="C438" s="1184" t="s">
        <v>34</v>
      </c>
      <c r="D438" s="1440">
        <v>10</v>
      </c>
      <c r="E438" s="1203" t="s">
        <v>292</v>
      </c>
      <c r="F438" s="1258">
        <f t="shared" si="83"/>
        <v>1397101.2</v>
      </c>
      <c r="G438" s="1258">
        <f t="shared" si="86"/>
        <v>100000</v>
      </c>
      <c r="H438" s="1238">
        <v>100000</v>
      </c>
      <c r="I438" s="1239"/>
      <c r="J438" s="1239"/>
      <c r="K438" s="1239"/>
      <c r="L438" s="1239"/>
      <c r="M438" s="1258">
        <f t="shared" si="84"/>
        <v>1297101.2</v>
      </c>
      <c r="N438" s="1238">
        <v>473203</v>
      </c>
      <c r="O438" s="1238">
        <v>29314</v>
      </c>
      <c r="P438" s="1238"/>
      <c r="Q438" s="1238">
        <v>80118</v>
      </c>
      <c r="R438" s="1238">
        <v>125000</v>
      </c>
      <c r="S438" s="1238">
        <v>31264.2</v>
      </c>
      <c r="T438" s="1238">
        <v>106104</v>
      </c>
      <c r="U438" s="1238">
        <v>152798</v>
      </c>
      <c r="V438" s="1238">
        <v>95300</v>
      </c>
      <c r="W438" s="1238">
        <v>100000</v>
      </c>
      <c r="X438" s="1238">
        <v>53900</v>
      </c>
      <c r="Y438" s="1238">
        <v>50100</v>
      </c>
    </row>
    <row r="439" spans="1:25" s="1088" customFormat="1">
      <c r="B439" s="1127"/>
      <c r="C439" s="1184" t="s">
        <v>34</v>
      </c>
      <c r="D439" s="1440">
        <v>11</v>
      </c>
      <c r="E439" s="1203" t="s">
        <v>291</v>
      </c>
      <c r="F439" s="1258">
        <f t="shared" si="83"/>
        <v>0</v>
      </c>
      <c r="G439" s="1258">
        <f t="shared" si="86"/>
        <v>0</v>
      </c>
      <c r="H439" s="1238"/>
      <c r="I439" s="1239"/>
      <c r="J439" s="1239"/>
      <c r="K439" s="1239"/>
      <c r="L439" s="1239"/>
      <c r="M439" s="1258">
        <f t="shared" si="84"/>
        <v>0</v>
      </c>
      <c r="N439" s="1238"/>
      <c r="O439" s="1238"/>
      <c r="P439" s="1238"/>
      <c r="Q439" s="1238"/>
      <c r="R439" s="1238"/>
      <c r="S439" s="1238"/>
      <c r="T439" s="1238"/>
      <c r="U439" s="1238"/>
      <c r="V439" s="1238"/>
      <c r="W439" s="1238"/>
      <c r="X439" s="1238"/>
      <c r="Y439" s="1238"/>
    </row>
    <row r="440" spans="1:25" s="1075" customFormat="1" ht="24">
      <c r="A440" s="1075">
        <v>13</v>
      </c>
      <c r="B440" s="1093">
        <v>13</v>
      </c>
      <c r="C440" s="1204" t="s">
        <v>582</v>
      </c>
      <c r="D440" s="1442"/>
      <c r="E440" s="1303" t="s">
        <v>256</v>
      </c>
      <c r="F440" s="1232">
        <f t="shared" si="83"/>
        <v>100000</v>
      </c>
      <c r="G440" s="1232">
        <f t="shared" si="86"/>
        <v>100000</v>
      </c>
      <c r="H440" s="1233">
        <f>SUM(H441)</f>
        <v>0</v>
      </c>
      <c r="I440" s="1234">
        <f t="shared" ref="I440:Y440" si="90">SUM(I441)</f>
        <v>0</v>
      </c>
      <c r="J440" s="1234">
        <f t="shared" si="90"/>
        <v>0</v>
      </c>
      <c r="K440" s="1234">
        <f t="shared" si="90"/>
        <v>100000</v>
      </c>
      <c r="L440" s="1234">
        <f t="shared" si="90"/>
        <v>0</v>
      </c>
      <c r="M440" s="1232">
        <f t="shared" si="84"/>
        <v>0</v>
      </c>
      <c r="N440" s="1233">
        <f t="shared" si="90"/>
        <v>0</v>
      </c>
      <c r="O440" s="1233">
        <f t="shared" si="90"/>
        <v>0</v>
      </c>
      <c r="P440" s="1233">
        <f t="shared" si="90"/>
        <v>0</v>
      </c>
      <c r="Q440" s="1233">
        <f t="shared" si="90"/>
        <v>0</v>
      </c>
      <c r="R440" s="1233">
        <f t="shared" si="90"/>
        <v>0</v>
      </c>
      <c r="S440" s="1233">
        <f t="shared" si="90"/>
        <v>0</v>
      </c>
      <c r="T440" s="1233">
        <f t="shared" si="90"/>
        <v>0</v>
      </c>
      <c r="U440" s="1233">
        <f t="shared" si="90"/>
        <v>0</v>
      </c>
      <c r="V440" s="1233">
        <f t="shared" si="90"/>
        <v>0</v>
      </c>
      <c r="W440" s="1233">
        <f t="shared" si="90"/>
        <v>0</v>
      </c>
      <c r="X440" s="1233">
        <f t="shared" si="90"/>
        <v>0</v>
      </c>
      <c r="Y440" s="1233">
        <f t="shared" si="90"/>
        <v>0</v>
      </c>
    </row>
    <row r="441" spans="1:25" s="1088" customFormat="1" ht="24">
      <c r="B441" s="1184"/>
      <c r="C441" s="1205" t="s">
        <v>582</v>
      </c>
      <c r="D441" s="1443">
        <v>1</v>
      </c>
      <c r="E441" s="1304" t="s">
        <v>573</v>
      </c>
      <c r="F441" s="1263">
        <f t="shared" si="83"/>
        <v>100000</v>
      </c>
      <c r="G441" s="1263">
        <f t="shared" si="86"/>
        <v>100000</v>
      </c>
      <c r="H441" s="1238"/>
      <c r="I441" s="1239"/>
      <c r="J441" s="1239"/>
      <c r="K441" s="1277">
        <v>100000</v>
      </c>
      <c r="L441" s="1239"/>
      <c r="M441" s="1263">
        <f t="shared" si="84"/>
        <v>0</v>
      </c>
      <c r="N441" s="1238"/>
      <c r="O441" s="1238"/>
      <c r="P441" s="1238"/>
      <c r="Q441" s="1238"/>
      <c r="R441" s="1238"/>
      <c r="S441" s="1238"/>
      <c r="T441" s="1238"/>
      <c r="U441" s="1238"/>
      <c r="V441" s="1238"/>
      <c r="W441" s="1238"/>
      <c r="X441" s="1238"/>
      <c r="Y441" s="1238"/>
    </row>
    <row r="442" spans="1:25" s="1075" customFormat="1" ht="24">
      <c r="A442" s="1075">
        <v>14</v>
      </c>
      <c r="B442" s="1093">
        <v>14</v>
      </c>
      <c r="C442" s="1204" t="s">
        <v>582</v>
      </c>
      <c r="D442" s="1442"/>
      <c r="E442" s="1303" t="s">
        <v>239</v>
      </c>
      <c r="F442" s="1232">
        <f t="shared" si="83"/>
        <v>104920</v>
      </c>
      <c r="G442" s="1232">
        <f t="shared" si="86"/>
        <v>104920</v>
      </c>
      <c r="H442" s="1233">
        <f>SUM(H443:H445)</f>
        <v>0</v>
      </c>
      <c r="I442" s="1234">
        <f t="shared" ref="I442:Y442" si="91">SUM(I443:I445)</f>
        <v>0</v>
      </c>
      <c r="J442" s="1234">
        <f t="shared" si="91"/>
        <v>0</v>
      </c>
      <c r="K442" s="1234">
        <f t="shared" si="91"/>
        <v>104920</v>
      </c>
      <c r="L442" s="1234">
        <f t="shared" si="91"/>
        <v>0</v>
      </c>
      <c r="M442" s="1232">
        <f t="shared" si="84"/>
        <v>0</v>
      </c>
      <c r="N442" s="1233">
        <f t="shared" si="91"/>
        <v>0</v>
      </c>
      <c r="O442" s="1233">
        <f t="shared" si="91"/>
        <v>0</v>
      </c>
      <c r="P442" s="1233">
        <f t="shared" si="91"/>
        <v>0</v>
      </c>
      <c r="Q442" s="1233">
        <f t="shared" si="91"/>
        <v>0</v>
      </c>
      <c r="R442" s="1233">
        <f t="shared" si="91"/>
        <v>0</v>
      </c>
      <c r="S442" s="1233">
        <f t="shared" si="91"/>
        <v>0</v>
      </c>
      <c r="T442" s="1233">
        <f t="shared" si="91"/>
        <v>0</v>
      </c>
      <c r="U442" s="1233">
        <f t="shared" si="91"/>
        <v>0</v>
      </c>
      <c r="V442" s="1233">
        <f t="shared" si="91"/>
        <v>0</v>
      </c>
      <c r="W442" s="1233">
        <f t="shared" si="91"/>
        <v>0</v>
      </c>
      <c r="X442" s="1233">
        <f t="shared" si="91"/>
        <v>0</v>
      </c>
      <c r="Y442" s="1233">
        <f t="shared" si="91"/>
        <v>0</v>
      </c>
    </row>
    <row r="443" spans="1:25" s="1095" customFormat="1" ht="24">
      <c r="B443" s="1205"/>
      <c r="C443" s="1205" t="s">
        <v>582</v>
      </c>
      <c r="D443" s="1443">
        <v>1</v>
      </c>
      <c r="E443" s="1304" t="s">
        <v>574</v>
      </c>
      <c r="F443" s="1263">
        <f t="shared" si="83"/>
        <v>78180</v>
      </c>
      <c r="G443" s="1263">
        <f t="shared" si="86"/>
        <v>78180</v>
      </c>
      <c r="H443" s="1247"/>
      <c r="I443" s="1250"/>
      <c r="J443" s="1250"/>
      <c r="K443" s="1239">
        <v>78180</v>
      </c>
      <c r="L443" s="1250"/>
      <c r="M443" s="1263">
        <f t="shared" si="84"/>
        <v>0</v>
      </c>
      <c r="N443" s="1247"/>
      <c r="O443" s="1247"/>
      <c r="P443" s="1247"/>
      <c r="Q443" s="1247"/>
      <c r="R443" s="1247"/>
      <c r="S443" s="1247"/>
      <c r="T443" s="1247"/>
      <c r="U443" s="1247"/>
      <c r="V443" s="1247"/>
      <c r="W443" s="1247"/>
      <c r="X443" s="1247"/>
      <c r="Y443" s="1247"/>
    </row>
    <row r="444" spans="1:25" s="1145" customFormat="1" ht="36">
      <c r="B444" s="1205"/>
      <c r="C444" s="1205" t="s">
        <v>582</v>
      </c>
      <c r="D444" s="1443">
        <v>2</v>
      </c>
      <c r="E444" s="1206" t="s">
        <v>575</v>
      </c>
      <c r="F444" s="1263">
        <f t="shared" si="83"/>
        <v>16420</v>
      </c>
      <c r="G444" s="1263">
        <f t="shared" si="86"/>
        <v>16420</v>
      </c>
      <c r="H444" s="1242"/>
      <c r="I444" s="1243"/>
      <c r="J444" s="1243"/>
      <c r="K444" s="1241">
        <v>16420</v>
      </c>
      <c r="L444" s="1243"/>
      <c r="M444" s="1263">
        <f t="shared" si="84"/>
        <v>0</v>
      </c>
      <c r="N444" s="1242"/>
      <c r="O444" s="1242"/>
      <c r="P444" s="1242"/>
      <c r="Q444" s="1242"/>
      <c r="R444" s="1242"/>
      <c r="S444" s="1242"/>
      <c r="T444" s="1242"/>
      <c r="U444" s="1242"/>
      <c r="V444" s="1242"/>
      <c r="W444" s="1242"/>
      <c r="X444" s="1242"/>
      <c r="Y444" s="1242"/>
    </row>
    <row r="445" spans="1:25" s="1145" customFormat="1" ht="24">
      <c r="B445" s="1205"/>
      <c r="C445" s="1205" t="s">
        <v>582</v>
      </c>
      <c r="D445" s="1443">
        <v>3</v>
      </c>
      <c r="E445" s="1304" t="s">
        <v>227</v>
      </c>
      <c r="F445" s="1263">
        <f t="shared" si="83"/>
        <v>10320</v>
      </c>
      <c r="G445" s="1263">
        <f t="shared" si="86"/>
        <v>10320</v>
      </c>
      <c r="H445" s="1242"/>
      <c r="I445" s="1243"/>
      <c r="J445" s="1243"/>
      <c r="K445" s="1241">
        <v>10320</v>
      </c>
      <c r="L445" s="1243"/>
      <c r="M445" s="1263">
        <f t="shared" si="84"/>
        <v>0</v>
      </c>
      <c r="N445" s="1242"/>
      <c r="O445" s="1242"/>
      <c r="P445" s="1242"/>
      <c r="Q445" s="1242"/>
      <c r="R445" s="1242"/>
      <c r="S445" s="1242"/>
      <c r="T445" s="1242"/>
      <c r="U445" s="1242"/>
      <c r="V445" s="1242"/>
      <c r="W445" s="1242"/>
      <c r="X445" s="1242"/>
      <c r="Y445" s="1242"/>
    </row>
    <row r="446" spans="1:25" s="1148" customFormat="1" ht="36">
      <c r="A446" s="1148">
        <v>15</v>
      </c>
      <c r="B446" s="1171">
        <v>15</v>
      </c>
      <c r="C446" s="1172" t="s">
        <v>34</v>
      </c>
      <c r="D446" s="1438"/>
      <c r="E446" s="1305" t="s">
        <v>32</v>
      </c>
      <c r="F446" s="1249">
        <f t="shared" si="83"/>
        <v>355850</v>
      </c>
      <c r="G446" s="1249">
        <f t="shared" si="86"/>
        <v>217000</v>
      </c>
      <c r="H446" s="1233">
        <f>SUM(H447:H457)</f>
        <v>217000</v>
      </c>
      <c r="I446" s="1234">
        <f>SUM(I447:I457)</f>
        <v>0</v>
      </c>
      <c r="J446" s="1234">
        <f>SUM(J447:J457)</f>
        <v>0</v>
      </c>
      <c r="K446" s="1234">
        <f>SUM(K447:K457)</f>
        <v>0</v>
      </c>
      <c r="L446" s="1234">
        <f>SUM(L447:L457)</f>
        <v>0</v>
      </c>
      <c r="M446" s="1249">
        <f t="shared" si="84"/>
        <v>138850</v>
      </c>
      <c r="N446" s="1233">
        <f t="shared" ref="N446:Y446" si="92">SUM(N447:N457)</f>
        <v>11120</v>
      </c>
      <c r="O446" s="1233">
        <f t="shared" si="92"/>
        <v>12000</v>
      </c>
      <c r="P446" s="1233">
        <f t="shared" si="92"/>
        <v>25160</v>
      </c>
      <c r="Q446" s="1233">
        <f t="shared" si="92"/>
        <v>19000</v>
      </c>
      <c r="R446" s="1233">
        <f t="shared" si="92"/>
        <v>0</v>
      </c>
      <c r="S446" s="1233">
        <f t="shared" si="92"/>
        <v>1840</v>
      </c>
      <c r="T446" s="1233">
        <f t="shared" si="92"/>
        <v>20520</v>
      </c>
      <c r="U446" s="1233">
        <f t="shared" si="92"/>
        <v>1220</v>
      </c>
      <c r="V446" s="1233">
        <f t="shared" si="92"/>
        <v>4390</v>
      </c>
      <c r="W446" s="1233">
        <f t="shared" si="92"/>
        <v>26000</v>
      </c>
      <c r="X446" s="1233">
        <f t="shared" si="92"/>
        <v>6440</v>
      </c>
      <c r="Y446" s="1233">
        <f t="shared" si="92"/>
        <v>11160</v>
      </c>
    </row>
    <row r="447" spans="1:25" s="1145" customFormat="1" ht="36">
      <c r="B447" s="1092"/>
      <c r="C447" s="1184" t="s">
        <v>34</v>
      </c>
      <c r="D447" s="1440">
        <v>1</v>
      </c>
      <c r="E447" s="1202" t="s">
        <v>335</v>
      </c>
      <c r="F447" s="1258">
        <f t="shared" si="83"/>
        <v>50000</v>
      </c>
      <c r="G447" s="1258">
        <f t="shared" si="86"/>
        <v>50000</v>
      </c>
      <c r="H447" s="1238">
        <v>50000</v>
      </c>
      <c r="I447" s="1243"/>
      <c r="J447" s="1243"/>
      <c r="K447" s="1243"/>
      <c r="L447" s="1243"/>
      <c r="M447" s="1258">
        <f t="shared" si="84"/>
        <v>0</v>
      </c>
      <c r="N447" s="1242"/>
      <c r="O447" s="1242"/>
      <c r="P447" s="1242"/>
      <c r="Q447" s="1242"/>
      <c r="R447" s="1242"/>
      <c r="S447" s="1242"/>
      <c r="T447" s="1242"/>
      <c r="U447" s="1242"/>
      <c r="V447" s="1242"/>
      <c r="W447" s="1242"/>
      <c r="X447" s="1242"/>
      <c r="Y447" s="1242"/>
    </row>
    <row r="448" spans="1:25" s="1145" customFormat="1" ht="24">
      <c r="B448" s="1092"/>
      <c r="C448" s="1184" t="s">
        <v>34</v>
      </c>
      <c r="D448" s="1440">
        <v>2</v>
      </c>
      <c r="E448" s="1207" t="s">
        <v>336</v>
      </c>
      <c r="F448" s="1258"/>
      <c r="G448" s="1258"/>
      <c r="H448" s="1238"/>
      <c r="I448" s="1243"/>
      <c r="J448" s="1243"/>
      <c r="K448" s="1243"/>
      <c r="L448" s="1243"/>
      <c r="M448" s="1258"/>
      <c r="N448" s="1242"/>
      <c r="O448" s="1242"/>
      <c r="P448" s="1242"/>
      <c r="Q448" s="1242"/>
      <c r="R448" s="1242"/>
      <c r="S448" s="1242"/>
      <c r="T448" s="1242"/>
      <c r="U448" s="1242"/>
      <c r="V448" s="1242"/>
      <c r="W448" s="1242"/>
      <c r="X448" s="1242"/>
      <c r="Y448" s="1242"/>
    </row>
    <row r="449" spans="1:25" s="1145" customFormat="1" ht="24">
      <c r="B449" s="1092"/>
      <c r="C449" s="1184" t="s">
        <v>34</v>
      </c>
      <c r="D449" s="1440">
        <v>3</v>
      </c>
      <c r="E449" s="1202" t="s">
        <v>337</v>
      </c>
      <c r="F449" s="1258">
        <f t="shared" ref="F449:F512" si="93">G449+M449</f>
        <v>167000</v>
      </c>
      <c r="G449" s="1258">
        <f t="shared" ref="G449:G451" si="94">SUM(H449:L449)</f>
        <v>167000</v>
      </c>
      <c r="H449" s="1238">
        <v>167000</v>
      </c>
      <c r="I449" s="1243"/>
      <c r="J449" s="1243"/>
      <c r="K449" s="1243"/>
      <c r="L449" s="1243"/>
      <c r="M449" s="1258">
        <f t="shared" ref="M449:M499" si="95">SUM(N449:Y449)</f>
        <v>0</v>
      </c>
      <c r="N449" s="1242"/>
      <c r="O449" s="1242"/>
      <c r="P449" s="1242"/>
      <c r="Q449" s="1242"/>
      <c r="R449" s="1242"/>
      <c r="S449" s="1242"/>
      <c r="T449" s="1242"/>
      <c r="U449" s="1242"/>
      <c r="V449" s="1242"/>
      <c r="W449" s="1242"/>
      <c r="X449" s="1242"/>
      <c r="Y449" s="1242"/>
    </row>
    <row r="450" spans="1:25" s="1145" customFormat="1">
      <c r="B450" s="1092"/>
      <c r="C450" s="1184" t="s">
        <v>34</v>
      </c>
      <c r="D450" s="1440">
        <v>4</v>
      </c>
      <c r="E450" s="1203" t="s">
        <v>291</v>
      </c>
      <c r="F450" s="1258">
        <f t="shared" si="93"/>
        <v>0</v>
      </c>
      <c r="G450" s="1258">
        <f t="shared" si="94"/>
        <v>0</v>
      </c>
      <c r="H450" s="1242"/>
      <c r="I450" s="1243"/>
      <c r="J450" s="1243"/>
      <c r="K450" s="1243"/>
      <c r="L450" s="1243"/>
      <c r="M450" s="1258">
        <f t="shared" si="95"/>
        <v>0</v>
      </c>
      <c r="N450" s="1242"/>
      <c r="O450" s="1242"/>
      <c r="P450" s="1242"/>
      <c r="Q450" s="1242"/>
      <c r="R450" s="1242"/>
      <c r="S450" s="1242"/>
      <c r="T450" s="1242"/>
      <c r="U450" s="1242"/>
      <c r="V450" s="1242"/>
      <c r="W450" s="1242"/>
      <c r="X450" s="1242"/>
      <c r="Y450" s="1242"/>
    </row>
    <row r="451" spans="1:25" s="1145" customFormat="1" ht="60">
      <c r="B451" s="1092"/>
      <c r="C451" s="1184" t="s">
        <v>34</v>
      </c>
      <c r="D451" s="1440">
        <v>5</v>
      </c>
      <c r="E451" s="1208" t="s">
        <v>190</v>
      </c>
      <c r="F451" s="1258">
        <f t="shared" si="93"/>
        <v>116850</v>
      </c>
      <c r="G451" s="1258">
        <f t="shared" si="94"/>
        <v>0</v>
      </c>
      <c r="H451" s="1242"/>
      <c r="I451" s="1243"/>
      <c r="J451" s="1243"/>
      <c r="K451" s="1243"/>
      <c r="L451" s="1243"/>
      <c r="M451" s="1258">
        <f t="shared" si="95"/>
        <v>116850</v>
      </c>
      <c r="N451" s="1240">
        <v>11120</v>
      </c>
      <c r="O451" s="1240">
        <v>12000</v>
      </c>
      <c r="P451" s="1240">
        <v>25160</v>
      </c>
      <c r="Q451" s="1240">
        <v>6000</v>
      </c>
      <c r="R451" s="1240">
        <v>0</v>
      </c>
      <c r="S451" s="1240">
        <v>1840</v>
      </c>
      <c r="T451" s="1240">
        <v>20520</v>
      </c>
      <c r="U451" s="1240">
        <v>1220</v>
      </c>
      <c r="V451" s="1240">
        <v>4390</v>
      </c>
      <c r="W451" s="1240">
        <f>14000+3000</f>
        <v>17000</v>
      </c>
      <c r="X451" s="1240">
        <f>3520+2920</f>
        <v>6440</v>
      </c>
      <c r="Y451" s="1240">
        <v>11160</v>
      </c>
    </row>
    <row r="452" spans="1:25" s="1145" customFormat="1" ht="48">
      <c r="B452" s="1092"/>
      <c r="C452" s="1184" t="s">
        <v>34</v>
      </c>
      <c r="D452" s="1440">
        <v>6</v>
      </c>
      <c r="E452" s="1209" t="s">
        <v>719</v>
      </c>
      <c r="F452" s="1258"/>
      <c r="G452" s="1258"/>
      <c r="H452" s="1242"/>
      <c r="I452" s="1243"/>
      <c r="J452" s="1243"/>
      <c r="K452" s="1243"/>
      <c r="L452" s="1243"/>
      <c r="M452" s="1258"/>
      <c r="N452" s="1240"/>
      <c r="O452" s="1240"/>
      <c r="P452" s="1240"/>
      <c r="Q452" s="1240"/>
      <c r="R452" s="1240"/>
      <c r="S452" s="1240"/>
      <c r="T452" s="1240"/>
      <c r="U452" s="1240"/>
      <c r="V452" s="1240"/>
      <c r="W452" s="1240"/>
      <c r="X452" s="1240"/>
      <c r="Y452" s="1240"/>
    </row>
    <row r="453" spans="1:25" s="1145" customFormat="1" ht="72">
      <c r="B453" s="1092"/>
      <c r="C453" s="1184" t="s">
        <v>34</v>
      </c>
      <c r="D453" s="1440">
        <v>7</v>
      </c>
      <c r="E453" s="1209" t="s">
        <v>718</v>
      </c>
      <c r="F453" s="1258"/>
      <c r="G453" s="1258"/>
      <c r="H453" s="1242"/>
      <c r="I453" s="1243"/>
      <c r="J453" s="1243"/>
      <c r="K453" s="1243"/>
      <c r="L453" s="1243"/>
      <c r="M453" s="1258"/>
      <c r="N453" s="1240"/>
      <c r="O453" s="1240"/>
      <c r="P453" s="1240"/>
      <c r="Q453" s="1240"/>
      <c r="R453" s="1240"/>
      <c r="S453" s="1240"/>
      <c r="T453" s="1240"/>
      <c r="U453" s="1240"/>
      <c r="V453" s="1240"/>
      <c r="W453" s="1240"/>
      <c r="X453" s="1240"/>
      <c r="Y453" s="1240"/>
    </row>
    <row r="454" spans="1:25" s="1145" customFormat="1" ht="72">
      <c r="B454" s="1092"/>
      <c r="C454" s="1184" t="s">
        <v>34</v>
      </c>
      <c r="D454" s="1440">
        <v>8</v>
      </c>
      <c r="E454" s="1209" t="s">
        <v>717</v>
      </c>
      <c r="F454" s="1258"/>
      <c r="G454" s="1258"/>
      <c r="H454" s="1242"/>
      <c r="I454" s="1243"/>
      <c r="J454" s="1243"/>
      <c r="K454" s="1243"/>
      <c r="L454" s="1243"/>
      <c r="M454" s="1258"/>
      <c r="N454" s="1240"/>
      <c r="O454" s="1240"/>
      <c r="P454" s="1240"/>
      <c r="Q454" s="1240"/>
      <c r="R454" s="1240"/>
      <c r="S454" s="1240"/>
      <c r="T454" s="1240"/>
      <c r="U454" s="1240"/>
      <c r="V454" s="1240"/>
      <c r="W454" s="1240"/>
      <c r="X454" s="1240"/>
      <c r="Y454" s="1278"/>
    </row>
    <row r="455" spans="1:25" s="1145" customFormat="1" ht="48">
      <c r="B455" s="1092"/>
      <c r="C455" s="1184" t="s">
        <v>34</v>
      </c>
      <c r="D455" s="1440">
        <v>9</v>
      </c>
      <c r="E455" s="1206" t="s">
        <v>356</v>
      </c>
      <c r="F455" s="1258"/>
      <c r="G455" s="1258"/>
      <c r="H455" s="1242"/>
      <c r="I455" s="1243"/>
      <c r="J455" s="1243"/>
      <c r="K455" s="1243"/>
      <c r="L455" s="1243"/>
      <c r="M455" s="1258"/>
      <c r="N455" s="1240"/>
      <c r="O455" s="1240"/>
      <c r="P455" s="1240"/>
      <c r="Q455" s="1240"/>
      <c r="R455" s="1240"/>
      <c r="S455" s="1240"/>
      <c r="T455" s="1240"/>
      <c r="U455" s="1240"/>
      <c r="V455" s="1278"/>
      <c r="W455" s="1240"/>
      <c r="X455" s="1240"/>
      <c r="Y455" s="1278"/>
    </row>
    <row r="456" spans="1:25" s="1145" customFormat="1" ht="108">
      <c r="B456" s="1092"/>
      <c r="C456" s="1184" t="s">
        <v>34</v>
      </c>
      <c r="D456" s="1440">
        <v>10</v>
      </c>
      <c r="E456" s="1306" t="s">
        <v>357</v>
      </c>
      <c r="F456" s="1258"/>
      <c r="G456" s="1258"/>
      <c r="H456" s="1242"/>
      <c r="I456" s="1243"/>
      <c r="J456" s="1243"/>
      <c r="K456" s="1243"/>
      <c r="L456" s="1243"/>
      <c r="M456" s="1258"/>
      <c r="N456" s="1240"/>
      <c r="O456" s="1240"/>
      <c r="P456" s="1240"/>
      <c r="Q456" s="1240"/>
      <c r="R456" s="1240"/>
      <c r="S456" s="1240"/>
      <c r="T456" s="1240"/>
      <c r="U456" s="1240"/>
      <c r="V456" s="1278"/>
      <c r="W456" s="1240"/>
      <c r="X456" s="1240"/>
      <c r="Y456" s="1278"/>
    </row>
    <row r="457" spans="1:25" s="1145" customFormat="1" ht="24">
      <c r="B457" s="1092"/>
      <c r="C457" s="1184" t="s">
        <v>34</v>
      </c>
      <c r="D457" s="1440">
        <v>11</v>
      </c>
      <c r="E457" s="1208" t="s">
        <v>205</v>
      </c>
      <c r="F457" s="1258">
        <f t="shared" si="93"/>
        <v>22000</v>
      </c>
      <c r="G457" s="1258">
        <f t="shared" ref="G457:G509" si="96">SUM(H457:L457)</f>
        <v>0</v>
      </c>
      <c r="H457" s="1242"/>
      <c r="I457" s="1243"/>
      <c r="J457" s="1243"/>
      <c r="K457" s="1243"/>
      <c r="L457" s="1243"/>
      <c r="M457" s="1258">
        <f t="shared" si="95"/>
        <v>22000</v>
      </c>
      <c r="N457" s="1255"/>
      <c r="O457" s="1278"/>
      <c r="P457" s="1278"/>
      <c r="Q457" s="1240">
        <v>13000</v>
      </c>
      <c r="R457" s="1240">
        <v>0</v>
      </c>
      <c r="S457" s="1278"/>
      <c r="T457" s="1278"/>
      <c r="U457" s="1278"/>
      <c r="V457" s="1278"/>
      <c r="W457" s="1240">
        <v>9000</v>
      </c>
      <c r="X457" s="1278"/>
      <c r="Y457" s="1278"/>
    </row>
    <row r="458" spans="1:25" s="1148" customFormat="1">
      <c r="A458" s="1148">
        <v>16</v>
      </c>
      <c r="B458" s="1171">
        <v>16</v>
      </c>
      <c r="C458" s="1172" t="s">
        <v>34</v>
      </c>
      <c r="D458" s="1438"/>
      <c r="E458" s="1305" t="s">
        <v>257</v>
      </c>
      <c r="F458" s="1249">
        <f t="shared" si="93"/>
        <v>430000</v>
      </c>
      <c r="G458" s="1249">
        <f t="shared" si="96"/>
        <v>430000</v>
      </c>
      <c r="H458" s="1233">
        <f t="shared" ref="H458:Y458" si="97">SUM(H459:H464)</f>
        <v>430000</v>
      </c>
      <c r="I458" s="1234">
        <f t="shared" si="97"/>
        <v>0</v>
      </c>
      <c r="J458" s="1234">
        <f t="shared" si="97"/>
        <v>0</v>
      </c>
      <c r="K458" s="1234">
        <f t="shared" si="97"/>
        <v>0</v>
      </c>
      <c r="L458" s="1234">
        <f t="shared" si="97"/>
        <v>0</v>
      </c>
      <c r="M458" s="1249">
        <f t="shared" si="95"/>
        <v>0</v>
      </c>
      <c r="N458" s="1233">
        <f t="shared" si="97"/>
        <v>0</v>
      </c>
      <c r="O458" s="1233">
        <f t="shared" si="97"/>
        <v>0</v>
      </c>
      <c r="P458" s="1233">
        <f t="shared" si="97"/>
        <v>0</v>
      </c>
      <c r="Q458" s="1233">
        <f t="shared" si="97"/>
        <v>0</v>
      </c>
      <c r="R458" s="1233">
        <f t="shared" si="97"/>
        <v>0</v>
      </c>
      <c r="S458" s="1233">
        <f t="shared" si="97"/>
        <v>0</v>
      </c>
      <c r="T458" s="1233">
        <f t="shared" si="97"/>
        <v>0</v>
      </c>
      <c r="U458" s="1233">
        <f t="shared" si="97"/>
        <v>0</v>
      </c>
      <c r="V458" s="1233">
        <f t="shared" si="97"/>
        <v>0</v>
      </c>
      <c r="W458" s="1233">
        <f t="shared" si="97"/>
        <v>0</v>
      </c>
      <c r="X458" s="1233">
        <f t="shared" si="97"/>
        <v>0</v>
      </c>
      <c r="Y458" s="1233">
        <f t="shared" si="97"/>
        <v>0</v>
      </c>
    </row>
    <row r="459" spans="1:25" s="1145" customFormat="1" ht="24">
      <c r="B459" s="1092"/>
      <c r="C459" s="1184" t="s">
        <v>34</v>
      </c>
      <c r="D459" s="1440">
        <v>1</v>
      </c>
      <c r="E459" s="1202" t="s">
        <v>191</v>
      </c>
      <c r="F459" s="1258">
        <f t="shared" si="93"/>
        <v>50000</v>
      </c>
      <c r="G459" s="1258">
        <f t="shared" si="96"/>
        <v>50000</v>
      </c>
      <c r="H459" s="1242">
        <v>50000</v>
      </c>
      <c r="I459" s="1243"/>
      <c r="J459" s="1243"/>
      <c r="K459" s="1243"/>
      <c r="L459" s="1243"/>
      <c r="M459" s="1258"/>
      <c r="N459" s="1242"/>
      <c r="O459" s="1242"/>
      <c r="P459" s="1242"/>
      <c r="Q459" s="1242"/>
      <c r="R459" s="1242"/>
      <c r="S459" s="1242"/>
      <c r="T459" s="1242"/>
      <c r="U459" s="1242"/>
      <c r="V459" s="1242"/>
      <c r="W459" s="1242"/>
      <c r="X459" s="1242"/>
      <c r="Y459" s="1242"/>
    </row>
    <row r="460" spans="1:25" s="1145" customFormat="1" ht="48">
      <c r="B460" s="1092"/>
      <c r="C460" s="1184" t="s">
        <v>34</v>
      </c>
      <c r="D460" s="1440">
        <v>2</v>
      </c>
      <c r="E460" s="1202" t="s">
        <v>286</v>
      </c>
      <c r="F460" s="1258">
        <f t="shared" si="93"/>
        <v>320000</v>
      </c>
      <c r="G460" s="1258">
        <f t="shared" si="96"/>
        <v>320000</v>
      </c>
      <c r="H460" s="1242">
        <v>320000</v>
      </c>
      <c r="I460" s="1243"/>
      <c r="J460" s="1243"/>
      <c r="K460" s="1243"/>
      <c r="L460" s="1243"/>
      <c r="M460" s="1258"/>
      <c r="N460" s="1242"/>
      <c r="O460" s="1242"/>
      <c r="P460" s="1242"/>
      <c r="Q460" s="1242"/>
      <c r="R460" s="1242"/>
      <c r="S460" s="1242"/>
      <c r="T460" s="1242"/>
      <c r="U460" s="1242"/>
      <c r="V460" s="1242"/>
      <c r="W460" s="1242"/>
      <c r="X460" s="1242"/>
      <c r="Y460" s="1242"/>
    </row>
    <row r="461" spans="1:25" s="1145" customFormat="1" ht="24">
      <c r="B461" s="1092"/>
      <c r="C461" s="1184" t="s">
        <v>34</v>
      </c>
      <c r="D461" s="1440">
        <v>3</v>
      </c>
      <c r="E461" s="1202" t="s">
        <v>192</v>
      </c>
      <c r="F461" s="1258">
        <f t="shared" si="93"/>
        <v>15000</v>
      </c>
      <c r="G461" s="1258">
        <f t="shared" si="96"/>
        <v>15000</v>
      </c>
      <c r="H461" s="1242">
        <v>15000</v>
      </c>
      <c r="I461" s="1243"/>
      <c r="J461" s="1243"/>
      <c r="K461" s="1243"/>
      <c r="L461" s="1243"/>
      <c r="M461" s="1258">
        <f t="shared" si="95"/>
        <v>0</v>
      </c>
      <c r="N461" s="1242"/>
      <c r="O461" s="1242"/>
      <c r="P461" s="1242"/>
      <c r="Q461" s="1242"/>
      <c r="R461" s="1242"/>
      <c r="S461" s="1242"/>
      <c r="T461" s="1242"/>
      <c r="U461" s="1242"/>
      <c r="V461" s="1242"/>
      <c r="W461" s="1242"/>
      <c r="X461" s="1242"/>
      <c r="Y461" s="1242"/>
    </row>
    <row r="462" spans="1:25" s="1145" customFormat="1">
      <c r="B462" s="1092"/>
      <c r="C462" s="1184" t="s">
        <v>34</v>
      </c>
      <c r="D462" s="1440">
        <v>4</v>
      </c>
      <c r="E462" s="1203" t="s">
        <v>290</v>
      </c>
      <c r="F462" s="1258">
        <f t="shared" si="93"/>
        <v>30000</v>
      </c>
      <c r="G462" s="1258">
        <f t="shared" si="96"/>
        <v>30000</v>
      </c>
      <c r="H462" s="1242">
        <v>30000</v>
      </c>
      <c r="I462" s="1243"/>
      <c r="J462" s="1243"/>
      <c r="K462" s="1243"/>
      <c r="L462" s="1243"/>
      <c r="M462" s="1258">
        <f t="shared" si="95"/>
        <v>0</v>
      </c>
      <c r="N462" s="1242"/>
      <c r="O462" s="1242"/>
      <c r="P462" s="1242"/>
      <c r="Q462" s="1242"/>
      <c r="R462" s="1242"/>
      <c r="S462" s="1242"/>
      <c r="T462" s="1242"/>
      <c r="U462" s="1242"/>
      <c r="V462" s="1242"/>
      <c r="W462" s="1242"/>
      <c r="X462" s="1242"/>
      <c r="Y462" s="1242"/>
    </row>
    <row r="463" spans="1:25" s="1145" customFormat="1">
      <c r="B463" s="1092"/>
      <c r="C463" s="1184" t="s">
        <v>34</v>
      </c>
      <c r="D463" s="1440">
        <v>5</v>
      </c>
      <c r="E463" s="1203" t="s">
        <v>292</v>
      </c>
      <c r="F463" s="1258">
        <f t="shared" si="93"/>
        <v>0</v>
      </c>
      <c r="G463" s="1258">
        <f t="shared" si="96"/>
        <v>0</v>
      </c>
      <c r="H463" s="1242"/>
      <c r="I463" s="1243"/>
      <c r="J463" s="1243"/>
      <c r="K463" s="1243"/>
      <c r="L463" s="1243"/>
      <c r="M463" s="1258">
        <f t="shared" si="95"/>
        <v>0</v>
      </c>
      <c r="N463" s="1242"/>
      <c r="O463" s="1242"/>
      <c r="P463" s="1242"/>
      <c r="Q463" s="1242"/>
      <c r="R463" s="1242"/>
      <c r="S463" s="1242"/>
      <c r="T463" s="1242"/>
      <c r="U463" s="1242"/>
      <c r="V463" s="1242"/>
      <c r="W463" s="1242"/>
      <c r="X463" s="1242"/>
      <c r="Y463" s="1242"/>
    </row>
    <row r="464" spans="1:25" s="1145" customFormat="1">
      <c r="B464" s="1092"/>
      <c r="C464" s="1184" t="s">
        <v>34</v>
      </c>
      <c r="D464" s="1440">
        <v>6</v>
      </c>
      <c r="E464" s="1203" t="s">
        <v>291</v>
      </c>
      <c r="F464" s="1258">
        <f t="shared" si="93"/>
        <v>15000</v>
      </c>
      <c r="G464" s="1258">
        <f t="shared" si="96"/>
        <v>15000</v>
      </c>
      <c r="H464" s="1242">
        <v>15000</v>
      </c>
      <c r="I464" s="1243"/>
      <c r="J464" s="1243"/>
      <c r="K464" s="1243"/>
      <c r="L464" s="1243"/>
      <c r="M464" s="1258">
        <f t="shared" si="95"/>
        <v>0</v>
      </c>
      <c r="N464" s="1242"/>
      <c r="O464" s="1242"/>
      <c r="P464" s="1242"/>
      <c r="Q464" s="1242"/>
      <c r="R464" s="1242"/>
      <c r="S464" s="1242"/>
      <c r="T464" s="1242"/>
      <c r="U464" s="1242"/>
      <c r="V464" s="1242"/>
      <c r="W464" s="1242"/>
      <c r="X464" s="1242"/>
      <c r="Y464" s="1242"/>
    </row>
    <row r="465" spans="1:25" s="1148" customFormat="1" ht="36">
      <c r="A465" s="1148">
        <v>17</v>
      </c>
      <c r="B465" s="1171">
        <v>17</v>
      </c>
      <c r="C465" s="1172" t="s">
        <v>34</v>
      </c>
      <c r="D465" s="1438"/>
      <c r="E465" s="1305" t="s">
        <v>193</v>
      </c>
      <c r="F465" s="1249">
        <f t="shared" si="93"/>
        <v>349760</v>
      </c>
      <c r="G465" s="1249">
        <f t="shared" si="96"/>
        <v>160000</v>
      </c>
      <c r="H465" s="1233">
        <f>SUM(H466:H475)</f>
        <v>160000</v>
      </c>
      <c r="I465" s="1234">
        <f t="shared" ref="I465:Y465" si="98">SUM(I466:I475)</f>
        <v>0</v>
      </c>
      <c r="J465" s="1234">
        <f t="shared" si="98"/>
        <v>0</v>
      </c>
      <c r="K465" s="1234">
        <f t="shared" si="98"/>
        <v>0</v>
      </c>
      <c r="L465" s="1234">
        <f t="shared" si="98"/>
        <v>0</v>
      </c>
      <c r="M465" s="1249">
        <f t="shared" si="95"/>
        <v>189760</v>
      </c>
      <c r="N465" s="1233">
        <f t="shared" si="98"/>
        <v>17180</v>
      </c>
      <c r="O465" s="1233">
        <f t="shared" si="98"/>
        <v>17000</v>
      </c>
      <c r="P465" s="1233">
        <f t="shared" si="98"/>
        <v>10394</v>
      </c>
      <c r="Q465" s="1233">
        <f t="shared" si="98"/>
        <v>38400</v>
      </c>
      <c r="R465" s="1233">
        <f t="shared" si="98"/>
        <v>15001</v>
      </c>
      <c r="S465" s="1233">
        <f t="shared" si="98"/>
        <v>14840</v>
      </c>
      <c r="T465" s="1233">
        <f t="shared" si="98"/>
        <v>28960</v>
      </c>
      <c r="U465" s="1233">
        <f t="shared" si="98"/>
        <v>11680</v>
      </c>
      <c r="V465" s="1233">
        <f t="shared" si="98"/>
        <v>8115</v>
      </c>
      <c r="W465" s="1233">
        <f t="shared" si="98"/>
        <v>12990</v>
      </c>
      <c r="X465" s="1233">
        <f t="shared" si="98"/>
        <v>9260</v>
      </c>
      <c r="Y465" s="1233">
        <f t="shared" si="98"/>
        <v>5940</v>
      </c>
    </row>
    <row r="466" spans="1:25" s="1145" customFormat="1" ht="60">
      <c r="B466" s="1092"/>
      <c r="C466" s="1184" t="s">
        <v>34</v>
      </c>
      <c r="D466" s="1440">
        <v>1</v>
      </c>
      <c r="E466" s="1202" t="s">
        <v>341</v>
      </c>
      <c r="F466" s="1258">
        <f t="shared" si="93"/>
        <v>186669</v>
      </c>
      <c r="G466" s="1258">
        <f t="shared" si="96"/>
        <v>100000</v>
      </c>
      <c r="H466" s="1242">
        <v>100000</v>
      </c>
      <c r="I466" s="1243"/>
      <c r="J466" s="1243"/>
      <c r="K466" s="1243"/>
      <c r="L466" s="1243"/>
      <c r="M466" s="1258">
        <f t="shared" si="95"/>
        <v>86669</v>
      </c>
      <c r="N466" s="1240">
        <v>10160</v>
      </c>
      <c r="O466" s="1240">
        <v>5000</v>
      </c>
      <c r="P466" s="1240">
        <v>10394</v>
      </c>
      <c r="Q466" s="1240">
        <f>2400+24000</f>
        <v>26400</v>
      </c>
      <c r="R466" s="1240">
        <v>0</v>
      </c>
      <c r="S466" s="1240">
        <v>14840</v>
      </c>
      <c r="T466" s="1240"/>
      <c r="U466" s="1240"/>
      <c r="V466" s="1240">
        <v>8115</v>
      </c>
      <c r="W466" s="1240">
        <v>5040</v>
      </c>
      <c r="X466" s="1240">
        <f>1040+1120+1440</f>
        <v>3600</v>
      </c>
      <c r="Y466" s="1240">
        <v>3120</v>
      </c>
    </row>
    <row r="467" spans="1:25" s="1145" customFormat="1" ht="48">
      <c r="B467" s="1092"/>
      <c r="C467" s="1184" t="s">
        <v>34</v>
      </c>
      <c r="D467" s="1440">
        <v>2</v>
      </c>
      <c r="E467" s="1202" t="s">
        <v>342</v>
      </c>
      <c r="F467" s="1258">
        <f t="shared" si="93"/>
        <v>126941</v>
      </c>
      <c r="G467" s="1258">
        <f t="shared" si="96"/>
        <v>60000</v>
      </c>
      <c r="H467" s="1242">
        <v>60000</v>
      </c>
      <c r="I467" s="1243"/>
      <c r="J467" s="1243"/>
      <c r="K467" s="1243"/>
      <c r="L467" s="1243"/>
      <c r="M467" s="1258">
        <f t="shared" si="95"/>
        <v>66941</v>
      </c>
      <c r="N467" s="1240">
        <v>7020</v>
      </c>
      <c r="O467" s="1240">
        <v>12000</v>
      </c>
      <c r="P467" s="1240"/>
      <c r="Q467" s="1240">
        <v>12000</v>
      </c>
      <c r="R467" s="1240">
        <v>2961</v>
      </c>
      <c r="S467" s="1240"/>
      <c r="T467" s="1240">
        <v>4850</v>
      </c>
      <c r="U467" s="1240">
        <v>11680</v>
      </c>
      <c r="V467" s="1240">
        <v>0</v>
      </c>
      <c r="W467" s="1240">
        <v>7950</v>
      </c>
      <c r="X467" s="1240">
        <f>2800+2860</f>
        <v>5660</v>
      </c>
      <c r="Y467" s="1240">
        <v>2820</v>
      </c>
    </row>
    <row r="468" spans="1:25" s="1145" customFormat="1" ht="36">
      <c r="B468" s="1092"/>
      <c r="C468" s="1184" t="s">
        <v>34</v>
      </c>
      <c r="D468" s="1440">
        <v>3</v>
      </c>
      <c r="E468" s="1307" t="s">
        <v>343</v>
      </c>
      <c r="F468" s="1258">
        <f t="shared" si="93"/>
        <v>6600</v>
      </c>
      <c r="G468" s="1258">
        <f t="shared" si="96"/>
        <v>0</v>
      </c>
      <c r="H468" s="1242"/>
      <c r="I468" s="1243"/>
      <c r="J468" s="1243"/>
      <c r="K468" s="1243"/>
      <c r="L468" s="1243"/>
      <c r="M468" s="1258">
        <f t="shared" si="95"/>
        <v>6600</v>
      </c>
      <c r="N468" s="1240"/>
      <c r="O468" s="1240"/>
      <c r="P468" s="1240"/>
      <c r="Q468" s="1240"/>
      <c r="R468" s="1255">
        <v>6600</v>
      </c>
      <c r="S468" s="1240"/>
      <c r="T468" s="1240"/>
      <c r="U468" s="1240"/>
      <c r="V468" s="1240"/>
      <c r="W468" s="1240"/>
      <c r="X468" s="1240"/>
      <c r="Y468" s="1240"/>
    </row>
    <row r="469" spans="1:25" s="1145" customFormat="1" ht="24">
      <c r="B469" s="1092"/>
      <c r="C469" s="1184" t="s">
        <v>34</v>
      </c>
      <c r="D469" s="1440">
        <v>4</v>
      </c>
      <c r="E469" s="1202" t="s">
        <v>344</v>
      </c>
      <c r="F469" s="1258"/>
      <c r="G469" s="1258"/>
      <c r="H469" s="1242"/>
      <c r="I469" s="1243"/>
      <c r="J469" s="1243"/>
      <c r="K469" s="1243"/>
      <c r="L469" s="1243"/>
      <c r="M469" s="1258"/>
      <c r="N469" s="1240"/>
      <c r="O469" s="1240"/>
      <c r="P469" s="1240"/>
      <c r="Q469" s="1240"/>
      <c r="R469" s="1240"/>
      <c r="S469" s="1240"/>
      <c r="T469" s="1240"/>
      <c r="U469" s="1240"/>
      <c r="V469" s="1240"/>
      <c r="W469" s="1240"/>
      <c r="X469" s="1240"/>
      <c r="Y469" s="1240"/>
    </row>
    <row r="470" spans="1:25" s="1145" customFormat="1" ht="48">
      <c r="B470" s="1092"/>
      <c r="C470" s="1184" t="s">
        <v>34</v>
      </c>
      <c r="D470" s="1440">
        <v>5</v>
      </c>
      <c r="E470" s="1210" t="s">
        <v>345</v>
      </c>
      <c r="F470" s="1258"/>
      <c r="G470" s="1258"/>
      <c r="H470" s="1242"/>
      <c r="I470" s="1243"/>
      <c r="J470" s="1243"/>
      <c r="K470" s="1243"/>
      <c r="L470" s="1243"/>
      <c r="M470" s="1258"/>
      <c r="N470" s="1240"/>
      <c r="O470" s="1240"/>
      <c r="P470" s="1240"/>
      <c r="Q470" s="1240"/>
      <c r="R470" s="1240"/>
      <c r="S470" s="1240"/>
      <c r="T470" s="1240"/>
      <c r="U470" s="1240"/>
      <c r="V470" s="1240"/>
      <c r="W470" s="1240"/>
      <c r="X470" s="1240"/>
      <c r="Y470" s="1238"/>
    </row>
    <row r="471" spans="1:25" s="1145" customFormat="1" ht="24">
      <c r="B471" s="1092"/>
      <c r="C471" s="1184" t="s">
        <v>34</v>
      </c>
      <c r="D471" s="1440">
        <v>6</v>
      </c>
      <c r="E471" s="1208" t="s">
        <v>208</v>
      </c>
      <c r="F471" s="1258">
        <f t="shared" si="93"/>
        <v>24110</v>
      </c>
      <c r="G471" s="1258">
        <f t="shared" si="96"/>
        <v>0</v>
      </c>
      <c r="H471" s="1242"/>
      <c r="I471" s="1243"/>
      <c r="J471" s="1243"/>
      <c r="K471" s="1243"/>
      <c r="L471" s="1243"/>
      <c r="M471" s="1258">
        <f t="shared" si="95"/>
        <v>24110</v>
      </c>
      <c r="N471" s="1240"/>
      <c r="O471" s="1240"/>
      <c r="P471" s="1240"/>
      <c r="Q471" s="1240"/>
      <c r="R471" s="1240"/>
      <c r="S471" s="1240"/>
      <c r="T471" s="1240">
        <v>24110</v>
      </c>
      <c r="U471" s="1240"/>
      <c r="V471" s="1240"/>
      <c r="W471" s="1240"/>
      <c r="X471" s="1240"/>
      <c r="Y471" s="1240">
        <v>0</v>
      </c>
    </row>
    <row r="472" spans="1:25" s="1145" customFormat="1">
      <c r="B472" s="1092"/>
      <c r="C472" s="1184" t="s">
        <v>34</v>
      </c>
      <c r="D472" s="1440">
        <v>7</v>
      </c>
      <c r="E472" s="1211" t="s">
        <v>720</v>
      </c>
      <c r="F472" s="1258">
        <f t="shared" si="93"/>
        <v>2560</v>
      </c>
      <c r="G472" s="1258">
        <f t="shared" si="96"/>
        <v>0</v>
      </c>
      <c r="H472" s="1242"/>
      <c r="I472" s="1243"/>
      <c r="J472" s="1243"/>
      <c r="K472" s="1243"/>
      <c r="L472" s="1243"/>
      <c r="M472" s="1258">
        <f t="shared" si="95"/>
        <v>2560</v>
      </c>
      <c r="N472" s="1240"/>
      <c r="O472" s="1240"/>
      <c r="P472" s="1240"/>
      <c r="Q472" s="1240"/>
      <c r="R472" s="1255">
        <v>2560</v>
      </c>
      <c r="S472" s="1240"/>
      <c r="T472" s="1240"/>
      <c r="U472" s="1240"/>
      <c r="V472" s="1240"/>
      <c r="W472" s="1240"/>
      <c r="X472" s="1240"/>
      <c r="Y472" s="1240"/>
    </row>
    <row r="473" spans="1:25" s="1145" customFormat="1" ht="36">
      <c r="B473" s="1092"/>
      <c r="C473" s="1184" t="s">
        <v>34</v>
      </c>
      <c r="D473" s="1440">
        <v>8</v>
      </c>
      <c r="E473" s="1306" t="s">
        <v>722</v>
      </c>
      <c r="F473" s="1258">
        <f t="shared" si="93"/>
        <v>2880</v>
      </c>
      <c r="G473" s="1258">
        <f t="shared" si="96"/>
        <v>0</v>
      </c>
      <c r="H473" s="1242"/>
      <c r="I473" s="1243"/>
      <c r="J473" s="1243"/>
      <c r="K473" s="1243"/>
      <c r="L473" s="1243"/>
      <c r="M473" s="1258">
        <f t="shared" si="95"/>
        <v>2880</v>
      </c>
      <c r="N473" s="1240"/>
      <c r="O473" s="1240"/>
      <c r="P473" s="1240"/>
      <c r="Q473" s="1240"/>
      <c r="R473" s="1240">
        <v>2880</v>
      </c>
      <c r="S473" s="1240"/>
      <c r="T473" s="1240"/>
      <c r="U473" s="1240"/>
      <c r="V473" s="1240"/>
      <c r="W473" s="1240"/>
      <c r="X473" s="1240"/>
      <c r="Y473" s="1240"/>
    </row>
    <row r="474" spans="1:25" s="1145" customFormat="1" ht="48">
      <c r="B474" s="1092"/>
      <c r="C474" s="1184" t="s">
        <v>34</v>
      </c>
      <c r="D474" s="1440">
        <v>9</v>
      </c>
      <c r="E474" s="1212" t="s">
        <v>721</v>
      </c>
      <c r="F474" s="1258"/>
      <c r="G474" s="1258"/>
      <c r="H474" s="1242"/>
      <c r="I474" s="1243"/>
      <c r="J474" s="1243"/>
      <c r="K474" s="1243"/>
      <c r="L474" s="1243"/>
      <c r="M474" s="1258"/>
      <c r="N474" s="1240"/>
      <c r="O474" s="1240"/>
      <c r="P474" s="1240"/>
      <c r="Q474" s="1240"/>
      <c r="R474" s="1240"/>
      <c r="S474" s="1240"/>
      <c r="T474" s="1240"/>
      <c r="U474" s="1240"/>
      <c r="V474" s="1240"/>
      <c r="W474" s="1240"/>
      <c r="X474" s="1240"/>
      <c r="Y474" s="1240"/>
    </row>
    <row r="475" spans="1:25" s="1145" customFormat="1" ht="24">
      <c r="B475" s="1092"/>
      <c r="C475" s="1184" t="s">
        <v>34</v>
      </c>
      <c r="D475" s="1440">
        <v>10</v>
      </c>
      <c r="E475" s="1101" t="s">
        <v>361</v>
      </c>
      <c r="F475" s="1258"/>
      <c r="G475" s="1258"/>
      <c r="H475" s="1242"/>
      <c r="I475" s="1243"/>
      <c r="J475" s="1243"/>
      <c r="K475" s="1243"/>
      <c r="L475" s="1243"/>
      <c r="M475" s="1258"/>
      <c r="N475" s="1240"/>
      <c r="O475" s="1240"/>
      <c r="P475" s="1240"/>
      <c r="Q475" s="1240"/>
      <c r="R475" s="1255"/>
      <c r="S475" s="1240"/>
      <c r="T475" s="1240"/>
      <c r="U475" s="1240"/>
      <c r="V475" s="1240"/>
      <c r="W475" s="1240"/>
      <c r="X475" s="1240"/>
      <c r="Y475" s="1240"/>
    </row>
    <row r="476" spans="1:25" s="1148" customFormat="1">
      <c r="A476" s="1148">
        <v>18</v>
      </c>
      <c r="B476" s="1171">
        <v>18</v>
      </c>
      <c r="C476" s="1172" t="s">
        <v>34</v>
      </c>
      <c r="D476" s="1438"/>
      <c r="E476" s="1308" t="s">
        <v>33</v>
      </c>
      <c r="F476" s="1249">
        <f t="shared" si="93"/>
        <v>750692</v>
      </c>
      <c r="G476" s="1249">
        <f t="shared" si="96"/>
        <v>250000</v>
      </c>
      <c r="H476" s="1233">
        <f>SUM(H477:H486)</f>
        <v>250000</v>
      </c>
      <c r="I476" s="1234">
        <f t="shared" ref="I476:Y476" si="99">SUM(I477:I486)</f>
        <v>0</v>
      </c>
      <c r="J476" s="1234">
        <f t="shared" si="99"/>
        <v>0</v>
      </c>
      <c r="K476" s="1234">
        <f t="shared" si="99"/>
        <v>0</v>
      </c>
      <c r="L476" s="1234">
        <f t="shared" si="99"/>
        <v>0</v>
      </c>
      <c r="M476" s="1249">
        <f t="shared" si="95"/>
        <v>500692</v>
      </c>
      <c r="N476" s="1233">
        <f t="shared" si="99"/>
        <v>10800</v>
      </c>
      <c r="O476" s="1233">
        <f t="shared" si="99"/>
        <v>47100</v>
      </c>
      <c r="P476" s="1233">
        <f t="shared" si="99"/>
        <v>42090</v>
      </c>
      <c r="Q476" s="1233">
        <f t="shared" si="99"/>
        <v>77290</v>
      </c>
      <c r="R476" s="1233">
        <f t="shared" si="99"/>
        <v>57156</v>
      </c>
      <c r="S476" s="1233">
        <f t="shared" si="99"/>
        <v>10920</v>
      </c>
      <c r="T476" s="1233">
        <f t="shared" si="99"/>
        <v>37660</v>
      </c>
      <c r="U476" s="1233">
        <f t="shared" si="99"/>
        <v>32040</v>
      </c>
      <c r="V476" s="1233">
        <f t="shared" si="99"/>
        <v>47166</v>
      </c>
      <c r="W476" s="1233">
        <f t="shared" si="99"/>
        <v>38170</v>
      </c>
      <c r="X476" s="1233">
        <f t="shared" si="99"/>
        <v>73050</v>
      </c>
      <c r="Y476" s="1233">
        <f t="shared" si="99"/>
        <v>27250</v>
      </c>
    </row>
    <row r="477" spans="1:25" s="1145" customFormat="1" ht="24">
      <c r="B477" s="1092"/>
      <c r="C477" s="1184" t="s">
        <v>34</v>
      </c>
      <c r="D477" s="1440">
        <v>1</v>
      </c>
      <c r="E477" s="1105" t="s">
        <v>338</v>
      </c>
      <c r="F477" s="1258">
        <f t="shared" si="93"/>
        <v>206046</v>
      </c>
      <c r="G477" s="1258">
        <f t="shared" si="96"/>
        <v>70000</v>
      </c>
      <c r="H477" s="1242">
        <v>70000</v>
      </c>
      <c r="I477" s="1243"/>
      <c r="J477" s="1243"/>
      <c r="K477" s="1243"/>
      <c r="L477" s="1243"/>
      <c r="M477" s="1258">
        <f t="shared" si="95"/>
        <v>136046</v>
      </c>
      <c r="N477" s="1240">
        <v>10800</v>
      </c>
      <c r="O477" s="1240">
        <v>17500</v>
      </c>
      <c r="P477" s="1240">
        <v>25690</v>
      </c>
      <c r="Q477" s="1240">
        <v>32450</v>
      </c>
      <c r="R477" s="1240">
        <v>4176</v>
      </c>
      <c r="S477" s="1240"/>
      <c r="T477" s="1240">
        <v>5560</v>
      </c>
      <c r="U477" s="1240">
        <v>2660</v>
      </c>
      <c r="V477" s="1240">
        <v>9500</v>
      </c>
      <c r="W477" s="1240">
        <f>3350+14060</f>
        <v>17410</v>
      </c>
      <c r="X477" s="1240">
        <f>2550</f>
        <v>2550</v>
      </c>
      <c r="Y477" s="1240">
        <v>7750</v>
      </c>
    </row>
    <row r="478" spans="1:25" s="1145" customFormat="1" ht="48">
      <c r="B478" s="1092"/>
      <c r="C478" s="1184" t="s">
        <v>34</v>
      </c>
      <c r="D478" s="1440">
        <v>2</v>
      </c>
      <c r="E478" s="1096" t="s">
        <v>339</v>
      </c>
      <c r="F478" s="1258">
        <f t="shared" si="93"/>
        <v>215280</v>
      </c>
      <c r="G478" s="1258">
        <f t="shared" si="96"/>
        <v>180000</v>
      </c>
      <c r="H478" s="1242">
        <v>180000</v>
      </c>
      <c r="I478" s="1243"/>
      <c r="J478" s="1243"/>
      <c r="K478" s="1243"/>
      <c r="L478" s="1243"/>
      <c r="M478" s="1258">
        <f t="shared" si="95"/>
        <v>35280</v>
      </c>
      <c r="N478" s="1240"/>
      <c r="O478" s="1240">
        <v>5000</v>
      </c>
      <c r="P478" s="1240"/>
      <c r="Q478" s="1240">
        <v>1040</v>
      </c>
      <c r="R478" s="1240">
        <v>0</v>
      </c>
      <c r="S478" s="1240">
        <v>10600</v>
      </c>
      <c r="T478" s="1240">
        <v>4500</v>
      </c>
      <c r="U478" s="1240">
        <v>1860</v>
      </c>
      <c r="V478" s="1240">
        <v>5340</v>
      </c>
      <c r="W478" s="1240">
        <v>5040</v>
      </c>
      <c r="X478" s="1240"/>
      <c r="Y478" s="1240">
        <v>1900</v>
      </c>
    </row>
    <row r="479" spans="1:25" s="1145" customFormat="1" ht="60">
      <c r="B479" s="1092"/>
      <c r="C479" s="1184" t="s">
        <v>34</v>
      </c>
      <c r="D479" s="1440">
        <v>3</v>
      </c>
      <c r="E479" s="1096" t="s">
        <v>723</v>
      </c>
      <c r="F479" s="1258"/>
      <c r="G479" s="1258"/>
      <c r="H479" s="1242"/>
      <c r="I479" s="1243"/>
      <c r="J479" s="1243"/>
      <c r="K479" s="1243"/>
      <c r="L479" s="1243"/>
      <c r="M479" s="1258"/>
      <c r="N479" s="1240"/>
      <c r="O479" s="1240"/>
      <c r="P479" s="1240"/>
      <c r="Q479" s="1240"/>
      <c r="R479" s="1255"/>
      <c r="S479" s="1240"/>
      <c r="T479" s="1240"/>
      <c r="U479" s="1240"/>
      <c r="V479" s="1238"/>
      <c r="W479" s="1240"/>
      <c r="X479" s="1240"/>
      <c r="Y479" s="1240"/>
    </row>
    <row r="480" spans="1:25" s="1145" customFormat="1">
      <c r="B480" s="1092"/>
      <c r="C480" s="1184" t="s">
        <v>34</v>
      </c>
      <c r="D480" s="1440">
        <v>4</v>
      </c>
      <c r="E480" s="1309" t="s">
        <v>362</v>
      </c>
      <c r="F480" s="1258">
        <f t="shared" si="93"/>
        <v>133506</v>
      </c>
      <c r="G480" s="1258">
        <f t="shared" si="96"/>
        <v>0</v>
      </c>
      <c r="H480" s="1242"/>
      <c r="I480" s="1243"/>
      <c r="J480" s="1243"/>
      <c r="K480" s="1243"/>
      <c r="L480" s="1243"/>
      <c r="M480" s="1258">
        <f t="shared" si="95"/>
        <v>133506</v>
      </c>
      <c r="N480" s="1240"/>
      <c r="O480" s="1240">
        <v>5000</v>
      </c>
      <c r="P480" s="1240">
        <v>16400</v>
      </c>
      <c r="Q480" s="1240">
        <f>4800+39000</f>
        <v>43800</v>
      </c>
      <c r="R480" s="1255">
        <v>3140</v>
      </c>
      <c r="S480" s="1240"/>
      <c r="T480" s="1240"/>
      <c r="U480" s="1240">
        <v>16000</v>
      </c>
      <c r="V480" s="1240">
        <v>32326</v>
      </c>
      <c r="W480" s="1240">
        <f>6720+9000</f>
        <v>15720</v>
      </c>
      <c r="X480" s="1240"/>
      <c r="Y480" s="1240">
        <v>1120</v>
      </c>
    </row>
    <row r="481" spans="1:25" s="1145" customFormat="1" ht="24">
      <c r="B481" s="1092"/>
      <c r="C481" s="1184" t="s">
        <v>34</v>
      </c>
      <c r="D481" s="1440">
        <v>5</v>
      </c>
      <c r="E481" s="1185" t="s">
        <v>363</v>
      </c>
      <c r="F481" s="1258">
        <f t="shared" si="93"/>
        <v>146020</v>
      </c>
      <c r="G481" s="1258">
        <f t="shared" si="96"/>
        <v>0</v>
      </c>
      <c r="H481" s="1242"/>
      <c r="I481" s="1243"/>
      <c r="J481" s="1243"/>
      <c r="K481" s="1243"/>
      <c r="L481" s="1243"/>
      <c r="M481" s="1258">
        <f t="shared" si="95"/>
        <v>146020</v>
      </c>
      <c r="N481" s="1240"/>
      <c r="O481" s="1240">
        <v>19600</v>
      </c>
      <c r="P481" s="1240"/>
      <c r="Q481" s="1240"/>
      <c r="R481" s="1240">
        <v>0</v>
      </c>
      <c r="S481" s="1240">
        <v>320</v>
      </c>
      <c r="T481" s="1240">
        <f>7600+20000</f>
        <v>27600</v>
      </c>
      <c r="U481" s="1240">
        <v>11520</v>
      </c>
      <c r="V481" s="1240">
        <v>0</v>
      </c>
      <c r="W481" s="1240"/>
      <c r="X481" s="1240">
        <f>70500</f>
        <v>70500</v>
      </c>
      <c r="Y481" s="1240">
        <v>16480</v>
      </c>
    </row>
    <row r="482" spans="1:25" s="1145" customFormat="1">
      <c r="B482" s="1092"/>
      <c r="C482" s="1184" t="s">
        <v>34</v>
      </c>
      <c r="D482" s="1440">
        <v>6</v>
      </c>
      <c r="E482" s="1106" t="s">
        <v>358</v>
      </c>
      <c r="F482" s="1258">
        <f t="shared" si="93"/>
        <v>36480</v>
      </c>
      <c r="G482" s="1258">
        <f t="shared" si="96"/>
        <v>0</v>
      </c>
      <c r="H482" s="1242"/>
      <c r="I482" s="1243"/>
      <c r="J482" s="1243"/>
      <c r="K482" s="1243"/>
      <c r="L482" s="1243"/>
      <c r="M482" s="1258">
        <f t="shared" si="95"/>
        <v>36480</v>
      </c>
      <c r="N482" s="1240"/>
      <c r="O482" s="1240"/>
      <c r="P482" s="1240"/>
      <c r="Q482" s="1240"/>
      <c r="R482" s="1255">
        <v>36480</v>
      </c>
      <c r="S482" s="1240"/>
      <c r="T482" s="1240"/>
      <c r="U482" s="1240"/>
      <c r="V482" s="1238"/>
      <c r="W482" s="1240"/>
      <c r="X482" s="1240"/>
      <c r="Y482" s="1240"/>
    </row>
    <row r="483" spans="1:25" s="1145" customFormat="1">
      <c r="B483" s="1092"/>
      <c r="C483" s="1184" t="s">
        <v>34</v>
      </c>
      <c r="D483" s="1440">
        <v>7</v>
      </c>
      <c r="E483" s="1310" t="s">
        <v>853</v>
      </c>
      <c r="F483" s="1258">
        <f t="shared" si="93"/>
        <v>2560</v>
      </c>
      <c r="G483" s="1258">
        <f t="shared" si="96"/>
        <v>0</v>
      </c>
      <c r="H483" s="1242"/>
      <c r="I483" s="1243"/>
      <c r="J483" s="1243"/>
      <c r="K483" s="1243"/>
      <c r="L483" s="1243"/>
      <c r="M483" s="1258">
        <f t="shared" si="95"/>
        <v>2560</v>
      </c>
      <c r="N483" s="1240"/>
      <c r="O483" s="1240"/>
      <c r="P483" s="1240"/>
      <c r="Q483" s="1240"/>
      <c r="R483" s="1255">
        <v>2560</v>
      </c>
      <c r="S483" s="1240"/>
      <c r="T483" s="1240"/>
      <c r="U483" s="1240"/>
      <c r="V483" s="1238"/>
      <c r="W483" s="1240"/>
      <c r="X483" s="1240"/>
      <c r="Y483" s="1240"/>
    </row>
    <row r="484" spans="1:25" s="1145" customFormat="1" ht="48">
      <c r="B484" s="1092"/>
      <c r="C484" s="1184" t="s">
        <v>34</v>
      </c>
      <c r="D484" s="1440">
        <v>8</v>
      </c>
      <c r="E484" s="1109" t="s">
        <v>725</v>
      </c>
      <c r="F484" s="1258"/>
      <c r="G484" s="1258"/>
      <c r="H484" s="1242"/>
      <c r="I484" s="1243"/>
      <c r="J484" s="1243"/>
      <c r="K484" s="1243"/>
      <c r="L484" s="1243"/>
      <c r="M484" s="1258"/>
      <c r="N484" s="1240"/>
      <c r="O484" s="1240"/>
      <c r="P484" s="1240"/>
      <c r="Q484" s="1240"/>
      <c r="R484" s="1255"/>
      <c r="S484" s="1240"/>
      <c r="T484" s="1240"/>
      <c r="U484" s="1240"/>
      <c r="V484" s="1238"/>
      <c r="W484" s="1240"/>
      <c r="X484" s="1240"/>
      <c r="Y484" s="1240"/>
    </row>
    <row r="485" spans="1:25" s="1145" customFormat="1">
      <c r="B485" s="1092"/>
      <c r="C485" s="1184" t="s">
        <v>34</v>
      </c>
      <c r="D485" s="1440">
        <v>9</v>
      </c>
      <c r="E485" s="1311" t="s">
        <v>364</v>
      </c>
      <c r="F485" s="1258">
        <f t="shared" si="93"/>
        <v>10800</v>
      </c>
      <c r="G485" s="1258">
        <f t="shared" si="96"/>
        <v>0</v>
      </c>
      <c r="H485" s="1242"/>
      <c r="I485" s="1243"/>
      <c r="J485" s="1243"/>
      <c r="K485" s="1243"/>
      <c r="L485" s="1243"/>
      <c r="M485" s="1258">
        <f t="shared" si="95"/>
        <v>10800</v>
      </c>
      <c r="N485" s="1240"/>
      <c r="O485" s="1240"/>
      <c r="P485" s="1240"/>
      <c r="Q485" s="1240"/>
      <c r="R485" s="1255">
        <v>10800</v>
      </c>
      <c r="S485" s="1240"/>
      <c r="T485" s="1240"/>
      <c r="U485" s="1240"/>
      <c r="V485" s="1238"/>
      <c r="W485" s="1240"/>
      <c r="X485" s="1240"/>
      <c r="Y485" s="1240"/>
    </row>
    <row r="486" spans="1:25" s="1145" customFormat="1" ht="36">
      <c r="B486" s="1092"/>
      <c r="C486" s="1184" t="s">
        <v>34</v>
      </c>
      <c r="D486" s="1440">
        <v>10</v>
      </c>
      <c r="E486" s="1287" t="s">
        <v>726</v>
      </c>
      <c r="F486" s="1258"/>
      <c r="G486" s="1258"/>
      <c r="H486" s="1242"/>
      <c r="I486" s="1243"/>
      <c r="J486" s="1243"/>
      <c r="K486" s="1243"/>
      <c r="L486" s="1243"/>
      <c r="M486" s="1258"/>
      <c r="N486" s="1240"/>
      <c r="O486" s="1240"/>
      <c r="P486" s="1240"/>
      <c r="Q486" s="1240"/>
      <c r="R486" s="1255"/>
      <c r="S486" s="1240"/>
      <c r="T486" s="1240"/>
      <c r="U486" s="1240"/>
      <c r="V486" s="1238"/>
      <c r="W486" s="1240"/>
      <c r="X486" s="1240"/>
      <c r="Y486" s="1240"/>
    </row>
    <row r="487" spans="1:25" s="1148" customFormat="1" ht="24">
      <c r="A487" s="1148">
        <v>19</v>
      </c>
      <c r="B487" s="1171">
        <v>19</v>
      </c>
      <c r="C487" s="1172"/>
      <c r="D487" s="1438"/>
      <c r="E487" s="1308" t="s">
        <v>241</v>
      </c>
      <c r="F487" s="1249">
        <f t="shared" si="93"/>
        <v>3958187</v>
      </c>
      <c r="G487" s="1249">
        <f t="shared" si="96"/>
        <v>2456525</v>
      </c>
      <c r="H487" s="1233">
        <f>H488+H504+H506+H510</f>
        <v>1533125</v>
      </c>
      <c r="I487" s="1233">
        <f t="shared" ref="I487:L487" si="100">I488+I504+I506+I510</f>
        <v>278900</v>
      </c>
      <c r="J487" s="1233">
        <f t="shared" si="100"/>
        <v>574500</v>
      </c>
      <c r="K487" s="1233">
        <f t="shared" si="100"/>
        <v>70000</v>
      </c>
      <c r="L487" s="1233">
        <f t="shared" si="100"/>
        <v>0</v>
      </c>
      <c r="M487" s="1249">
        <f t="shared" si="95"/>
        <v>1501662</v>
      </c>
      <c r="N487" s="1233">
        <f t="shared" ref="N487:Y487" si="101">N488+N504+N506+N510</f>
        <v>285970</v>
      </c>
      <c r="O487" s="1233">
        <f t="shared" si="101"/>
        <v>50400</v>
      </c>
      <c r="P487" s="1233">
        <f t="shared" si="101"/>
        <v>105040</v>
      </c>
      <c r="Q487" s="1233">
        <f t="shared" si="101"/>
        <v>23900</v>
      </c>
      <c r="R487" s="1233">
        <f t="shared" si="101"/>
        <v>126974</v>
      </c>
      <c r="S487" s="1233">
        <f t="shared" si="101"/>
        <v>136148</v>
      </c>
      <c r="T487" s="1233">
        <f t="shared" si="101"/>
        <v>72867</v>
      </c>
      <c r="U487" s="1233">
        <f t="shared" si="101"/>
        <v>264998</v>
      </c>
      <c r="V487" s="1233">
        <f t="shared" si="101"/>
        <v>165880</v>
      </c>
      <c r="W487" s="1233">
        <f t="shared" si="101"/>
        <v>53755</v>
      </c>
      <c r="X487" s="1233">
        <f t="shared" si="101"/>
        <v>65030</v>
      </c>
      <c r="Y487" s="1233">
        <f t="shared" si="101"/>
        <v>150700</v>
      </c>
    </row>
    <row r="488" spans="1:25" s="1213" customFormat="1" ht="36">
      <c r="A488" s="1213" t="s">
        <v>806</v>
      </c>
      <c r="B488" s="1094" t="s">
        <v>268</v>
      </c>
      <c r="C488" s="1188" t="s">
        <v>34</v>
      </c>
      <c r="D488" s="1441"/>
      <c r="E488" s="1290" t="s">
        <v>262</v>
      </c>
      <c r="F488" s="1235">
        <f t="shared" si="93"/>
        <v>2499352</v>
      </c>
      <c r="G488" s="1235">
        <f t="shared" si="96"/>
        <v>1533125</v>
      </c>
      <c r="H488" s="1236">
        <f>SUM(H489:H503)</f>
        <v>1533125</v>
      </c>
      <c r="I488" s="1237">
        <f>SUM(I489:I503)</f>
        <v>0</v>
      </c>
      <c r="J488" s="1237">
        <f>SUM(J489:J503)</f>
        <v>0</v>
      </c>
      <c r="K488" s="1237">
        <f>SUM(K489:K503)</f>
        <v>0</v>
      </c>
      <c r="L488" s="1237">
        <f>SUM(L489:L503)</f>
        <v>0</v>
      </c>
      <c r="M488" s="1235">
        <f t="shared" si="95"/>
        <v>966227</v>
      </c>
      <c r="N488" s="1236">
        <f t="shared" ref="N488:Y488" si="102">SUM(N489:N503)</f>
        <v>102090</v>
      </c>
      <c r="O488" s="1236">
        <f t="shared" si="102"/>
        <v>8000</v>
      </c>
      <c r="P488" s="1236">
        <f t="shared" si="102"/>
        <v>93040</v>
      </c>
      <c r="Q488" s="1236">
        <f t="shared" si="102"/>
        <v>12900</v>
      </c>
      <c r="R488" s="1236">
        <f t="shared" si="102"/>
        <v>74894</v>
      </c>
      <c r="S488" s="1236">
        <f t="shared" si="102"/>
        <v>116948</v>
      </c>
      <c r="T488" s="1236">
        <f t="shared" si="102"/>
        <v>28352</v>
      </c>
      <c r="U488" s="1236">
        <f t="shared" si="102"/>
        <v>239278</v>
      </c>
      <c r="V488" s="1236">
        <f t="shared" si="102"/>
        <v>123360</v>
      </c>
      <c r="W488" s="1236">
        <f t="shared" si="102"/>
        <v>43755</v>
      </c>
      <c r="X488" s="1236">
        <f t="shared" si="102"/>
        <v>33110</v>
      </c>
      <c r="Y488" s="1236">
        <f t="shared" si="102"/>
        <v>90500</v>
      </c>
    </row>
    <row r="489" spans="1:25" s="1214" customFormat="1" ht="60">
      <c r="B489" s="1092"/>
      <c r="C489" s="1184" t="s">
        <v>34</v>
      </c>
      <c r="D489" s="1440">
        <v>1</v>
      </c>
      <c r="E489" s="1105" t="s">
        <v>139</v>
      </c>
      <c r="F489" s="1258">
        <f t="shared" si="93"/>
        <v>418700</v>
      </c>
      <c r="G489" s="1258">
        <f t="shared" si="96"/>
        <v>311000</v>
      </c>
      <c r="H489" s="1238">
        <f>71000+50000+100000+36000+80000-26000</f>
        <v>311000</v>
      </c>
      <c r="I489" s="1239"/>
      <c r="J489" s="1239"/>
      <c r="K489" s="1239"/>
      <c r="L489" s="1239"/>
      <c r="M489" s="1258">
        <f t="shared" si="95"/>
        <v>107700</v>
      </c>
      <c r="N489" s="1238"/>
      <c r="O489" s="1238">
        <v>1800</v>
      </c>
      <c r="P489" s="1238">
        <v>2000</v>
      </c>
      <c r="Q489" s="1238"/>
      <c r="R489" s="1238">
        <v>22320</v>
      </c>
      <c r="S489" s="1238"/>
      <c r="T489" s="1238">
        <v>3420</v>
      </c>
      <c r="U489" s="1238">
        <v>3000</v>
      </c>
      <c r="V489" s="1238">
        <v>36000</v>
      </c>
      <c r="W489" s="1238">
        <v>3800</v>
      </c>
      <c r="X489" s="1238">
        <v>12960</v>
      </c>
      <c r="Y489" s="1238">
        <v>22400</v>
      </c>
    </row>
    <row r="490" spans="1:25" s="1214" customFormat="1" ht="60">
      <c r="B490" s="1092"/>
      <c r="C490" s="1184" t="s">
        <v>34</v>
      </c>
      <c r="D490" s="1440">
        <v>2</v>
      </c>
      <c r="E490" s="1105" t="s">
        <v>413</v>
      </c>
      <c r="F490" s="1258">
        <f t="shared" si="93"/>
        <v>1199380</v>
      </c>
      <c r="G490" s="1258">
        <f t="shared" si="96"/>
        <v>726000</v>
      </c>
      <c r="H490" s="1242">
        <f>424000+150000+10000+116000+30000-4000</f>
        <v>726000</v>
      </c>
      <c r="I490" s="1243"/>
      <c r="J490" s="1243"/>
      <c r="K490" s="1243"/>
      <c r="L490" s="1243"/>
      <c r="M490" s="1258">
        <f t="shared" si="95"/>
        <v>473380</v>
      </c>
      <c r="N490" s="1242"/>
      <c r="O490" s="1242">
        <v>1200</v>
      </c>
      <c r="P490" s="1242">
        <v>63000</v>
      </c>
      <c r="Q490" s="1242"/>
      <c r="R490" s="1242">
        <v>22170</v>
      </c>
      <c r="S490" s="1238">
        <v>108348</v>
      </c>
      <c r="T490" s="1242">
        <v>13192</v>
      </c>
      <c r="U490" s="1242">
        <v>163670</v>
      </c>
      <c r="V490" s="1242">
        <v>40000</v>
      </c>
      <c r="W490" s="1242">
        <v>3800</v>
      </c>
      <c r="X490" s="1242">
        <v>14000</v>
      </c>
      <c r="Y490" s="1242">
        <v>44000</v>
      </c>
    </row>
    <row r="491" spans="1:25" s="1214" customFormat="1" ht="192">
      <c r="B491" s="1092"/>
      <c r="C491" s="1184" t="s">
        <v>34</v>
      </c>
      <c r="D491" s="1440">
        <v>3</v>
      </c>
      <c r="E491" s="1156" t="s">
        <v>414</v>
      </c>
      <c r="F491" s="1258">
        <f t="shared" si="93"/>
        <v>8800</v>
      </c>
      <c r="G491" s="1258">
        <f t="shared" si="96"/>
        <v>8800</v>
      </c>
      <c r="H491" s="1242">
        <v>8800</v>
      </c>
      <c r="I491" s="1243"/>
      <c r="J491" s="1243"/>
      <c r="K491" s="1243"/>
      <c r="L491" s="1243"/>
      <c r="M491" s="1258">
        <f t="shared" si="95"/>
        <v>0</v>
      </c>
      <c r="N491" s="1242"/>
      <c r="O491" s="1242"/>
      <c r="P491" s="1242"/>
      <c r="Q491" s="1242"/>
      <c r="R491" s="1242"/>
      <c r="S491" s="1242"/>
      <c r="T491" s="1242"/>
      <c r="U491" s="1242"/>
      <c r="V491" s="1242"/>
      <c r="W491" s="1242"/>
      <c r="X491" s="1242"/>
      <c r="Y491" s="1242"/>
    </row>
    <row r="492" spans="1:25" s="1214" customFormat="1" ht="60">
      <c r="B492" s="1092"/>
      <c r="C492" s="1184" t="s">
        <v>34</v>
      </c>
      <c r="D492" s="1440">
        <v>4</v>
      </c>
      <c r="E492" s="1156" t="s">
        <v>415</v>
      </c>
      <c r="F492" s="1258">
        <f t="shared" si="93"/>
        <v>58960</v>
      </c>
      <c r="G492" s="1258">
        <f t="shared" si="96"/>
        <v>50805</v>
      </c>
      <c r="H492" s="1242">
        <v>50805</v>
      </c>
      <c r="I492" s="1243"/>
      <c r="J492" s="1243"/>
      <c r="K492" s="1243"/>
      <c r="L492" s="1243"/>
      <c r="M492" s="1258">
        <f t="shared" si="95"/>
        <v>8155</v>
      </c>
      <c r="N492" s="1242"/>
      <c r="O492" s="1242"/>
      <c r="P492" s="1242"/>
      <c r="Q492" s="1242"/>
      <c r="R492" s="1242"/>
      <c r="S492" s="1242"/>
      <c r="T492" s="1242"/>
      <c r="U492" s="1242"/>
      <c r="V492" s="1242"/>
      <c r="W492" s="1242">
        <v>8155</v>
      </c>
      <c r="X492" s="1242"/>
      <c r="Y492" s="1242"/>
    </row>
    <row r="493" spans="1:25" s="1214" customFormat="1" ht="48">
      <c r="B493" s="1092"/>
      <c r="C493" s="1184" t="s">
        <v>34</v>
      </c>
      <c r="D493" s="1440">
        <v>5</v>
      </c>
      <c r="E493" s="1156" t="s">
        <v>416</v>
      </c>
      <c r="F493" s="1258">
        <f t="shared" si="93"/>
        <v>201242</v>
      </c>
      <c r="G493" s="1258">
        <f t="shared" si="96"/>
        <v>0</v>
      </c>
      <c r="H493" s="1242"/>
      <c r="I493" s="1243"/>
      <c r="J493" s="1243"/>
      <c r="K493" s="1243"/>
      <c r="L493" s="1243"/>
      <c r="M493" s="1258">
        <f t="shared" si="95"/>
        <v>201242</v>
      </c>
      <c r="N493" s="1242">
        <v>28840</v>
      </c>
      <c r="O493" s="1242">
        <v>5000</v>
      </c>
      <c r="P493" s="1242">
        <v>21000</v>
      </c>
      <c r="Q493" s="1242">
        <v>12900</v>
      </c>
      <c r="R493" s="1242">
        <v>30404</v>
      </c>
      <c r="S493" s="1242">
        <v>8600</v>
      </c>
      <c r="T493" s="1242">
        <v>11740</v>
      </c>
      <c r="U493" s="1242">
        <v>32268</v>
      </c>
      <c r="V493" s="1242">
        <v>25560</v>
      </c>
      <c r="W493" s="1242">
        <v>7000</v>
      </c>
      <c r="X493" s="1242">
        <v>6150</v>
      </c>
      <c r="Y493" s="1242">
        <v>11780</v>
      </c>
    </row>
    <row r="494" spans="1:25" s="1214" customFormat="1" ht="36">
      <c r="B494" s="1092"/>
      <c r="C494" s="1184" t="s">
        <v>34</v>
      </c>
      <c r="D494" s="1440">
        <v>6</v>
      </c>
      <c r="E494" s="1156" t="s">
        <v>417</v>
      </c>
      <c r="F494" s="1258">
        <f t="shared" si="93"/>
        <v>89100</v>
      </c>
      <c r="G494" s="1258">
        <f t="shared" si="96"/>
        <v>40000</v>
      </c>
      <c r="H494" s="1242">
        <v>40000</v>
      </c>
      <c r="I494" s="1243"/>
      <c r="J494" s="1243"/>
      <c r="K494" s="1243"/>
      <c r="L494" s="1243"/>
      <c r="M494" s="1258">
        <f t="shared" si="95"/>
        <v>49100</v>
      </c>
      <c r="N494" s="1242"/>
      <c r="O494" s="1242"/>
      <c r="P494" s="1242">
        <v>7040</v>
      </c>
      <c r="Q494" s="1242"/>
      <c r="R494" s="1242"/>
      <c r="S494" s="1242"/>
      <c r="T494" s="1242"/>
      <c r="U494" s="1242">
        <v>16740</v>
      </c>
      <c r="V494" s="1242">
        <v>5000</v>
      </c>
      <c r="W494" s="1242">
        <v>8000</v>
      </c>
      <c r="X494" s="1242"/>
      <c r="Y494" s="1242">
        <v>12320</v>
      </c>
    </row>
    <row r="495" spans="1:25" s="1214" customFormat="1" ht="72">
      <c r="B495" s="1092"/>
      <c r="C495" s="1184" t="s">
        <v>34</v>
      </c>
      <c r="D495" s="1440">
        <v>7</v>
      </c>
      <c r="E495" s="1156" t="s">
        <v>418</v>
      </c>
      <c r="F495" s="1258">
        <f t="shared" si="93"/>
        <v>60000</v>
      </c>
      <c r="G495" s="1258">
        <f t="shared" si="96"/>
        <v>55000</v>
      </c>
      <c r="H495" s="1242">
        <v>55000</v>
      </c>
      <c r="I495" s="1243"/>
      <c r="J495" s="1243"/>
      <c r="K495" s="1243"/>
      <c r="L495" s="1243"/>
      <c r="M495" s="1258">
        <f t="shared" si="95"/>
        <v>5000</v>
      </c>
      <c r="N495" s="1242"/>
      <c r="O495" s="1242"/>
      <c r="P495" s="1242"/>
      <c r="Q495" s="1242"/>
      <c r="R495" s="1242"/>
      <c r="S495" s="1242"/>
      <c r="T495" s="1242"/>
      <c r="U495" s="1242"/>
      <c r="V495" s="1255"/>
      <c r="W495" s="1242">
        <v>5000</v>
      </c>
      <c r="X495" s="1242"/>
      <c r="Y495" s="1242"/>
    </row>
    <row r="496" spans="1:25" s="1214" customFormat="1" ht="72">
      <c r="B496" s="1092"/>
      <c r="C496" s="1184" t="s">
        <v>34</v>
      </c>
      <c r="D496" s="1440">
        <v>8</v>
      </c>
      <c r="E496" s="1215" t="s">
        <v>419</v>
      </c>
      <c r="F496" s="1258"/>
      <c r="G496" s="1258"/>
      <c r="H496" s="1242"/>
      <c r="I496" s="1243"/>
      <c r="J496" s="1243"/>
      <c r="K496" s="1243"/>
      <c r="L496" s="1243"/>
      <c r="M496" s="1258"/>
      <c r="N496" s="1242"/>
      <c r="O496" s="1242"/>
      <c r="P496" s="1242"/>
      <c r="Q496" s="1242"/>
      <c r="R496" s="1242"/>
      <c r="S496" s="1255"/>
      <c r="T496" s="1242"/>
      <c r="U496" s="1242"/>
      <c r="V496" s="1242"/>
      <c r="W496" s="1242"/>
      <c r="X496" s="1242"/>
      <c r="Y496" s="1242"/>
    </row>
    <row r="497" spans="1:25" s="1214" customFormat="1" ht="60">
      <c r="B497" s="1092"/>
      <c r="C497" s="1184" t="s">
        <v>34</v>
      </c>
      <c r="D497" s="1440">
        <v>9</v>
      </c>
      <c r="E497" s="1156" t="s">
        <v>625</v>
      </c>
      <c r="F497" s="1258">
        <f t="shared" si="93"/>
        <v>92520</v>
      </c>
      <c r="G497" s="1258">
        <f t="shared" si="96"/>
        <v>91520</v>
      </c>
      <c r="H497" s="1242">
        <v>91520</v>
      </c>
      <c r="I497" s="1243"/>
      <c r="J497" s="1243"/>
      <c r="K497" s="1243"/>
      <c r="L497" s="1243"/>
      <c r="M497" s="1258">
        <f t="shared" si="95"/>
        <v>1000</v>
      </c>
      <c r="N497" s="1242"/>
      <c r="O497" s="1242"/>
      <c r="P497" s="1242"/>
      <c r="Q497" s="1242"/>
      <c r="R497" s="1242"/>
      <c r="S497" s="1242"/>
      <c r="T497" s="1242"/>
      <c r="U497" s="1242"/>
      <c r="V497" s="1242"/>
      <c r="W497" s="1242">
        <v>1000</v>
      </c>
      <c r="X497" s="1242"/>
      <c r="Y497" s="1242"/>
    </row>
    <row r="498" spans="1:25" s="1214" customFormat="1" ht="60">
      <c r="B498" s="1092"/>
      <c r="C498" s="1184" t="s">
        <v>34</v>
      </c>
      <c r="D498" s="1440">
        <v>10</v>
      </c>
      <c r="E498" s="1216" t="s">
        <v>705</v>
      </c>
      <c r="F498" s="1258"/>
      <c r="G498" s="1258"/>
      <c r="H498" s="1242"/>
      <c r="I498" s="1243"/>
      <c r="J498" s="1243"/>
      <c r="K498" s="1243"/>
      <c r="L498" s="1243"/>
      <c r="M498" s="1258"/>
      <c r="N498" s="1242"/>
      <c r="O498" s="1242"/>
      <c r="P498" s="1242"/>
      <c r="Q498" s="1242"/>
      <c r="R498" s="1242"/>
      <c r="S498" s="1242"/>
      <c r="T498" s="1242"/>
      <c r="U498" s="1242"/>
      <c r="V498" s="1242"/>
      <c r="W498" s="1242"/>
      <c r="X498" s="1242"/>
      <c r="Y498" s="1242"/>
    </row>
    <row r="499" spans="1:25" s="1214" customFormat="1" ht="24">
      <c r="B499" s="1092"/>
      <c r="C499" s="1184" t="s">
        <v>34</v>
      </c>
      <c r="D499" s="1440">
        <v>11</v>
      </c>
      <c r="E499" s="1216" t="s">
        <v>852</v>
      </c>
      <c r="F499" s="1258">
        <f t="shared" si="93"/>
        <v>250000</v>
      </c>
      <c r="G499" s="1258">
        <f t="shared" si="96"/>
        <v>250000</v>
      </c>
      <c r="H499" s="1242">
        <v>250000</v>
      </c>
      <c r="I499" s="1243"/>
      <c r="J499" s="1243"/>
      <c r="K499" s="1243"/>
      <c r="L499" s="1243"/>
      <c r="M499" s="1258">
        <f t="shared" si="95"/>
        <v>0</v>
      </c>
      <c r="N499" s="1242"/>
      <c r="O499" s="1242"/>
      <c r="P499" s="1242"/>
      <c r="Q499" s="1242"/>
      <c r="R499" s="1242"/>
      <c r="S499" s="1242"/>
      <c r="T499" s="1242"/>
      <c r="U499" s="1242"/>
      <c r="V499" s="1242"/>
      <c r="W499" s="1242"/>
      <c r="X499" s="1242"/>
      <c r="Y499" s="1242"/>
    </row>
    <row r="500" spans="1:25" s="1214" customFormat="1">
      <c r="B500" s="1092"/>
      <c r="C500" s="1184" t="s">
        <v>34</v>
      </c>
      <c r="D500" s="1440">
        <v>12</v>
      </c>
      <c r="E500" s="1162" t="s">
        <v>423</v>
      </c>
      <c r="F500" s="1258"/>
      <c r="G500" s="1258"/>
      <c r="H500" s="1242"/>
      <c r="I500" s="1243"/>
      <c r="J500" s="1243"/>
      <c r="K500" s="1243"/>
      <c r="L500" s="1243"/>
      <c r="M500" s="1258"/>
      <c r="N500" s="1242"/>
      <c r="O500" s="1242"/>
      <c r="P500" s="1242"/>
      <c r="Q500" s="1242"/>
      <c r="R500" s="1242"/>
      <c r="S500" s="1242"/>
      <c r="T500" s="1242"/>
      <c r="U500" s="1242"/>
      <c r="V500" s="1242"/>
      <c r="W500" s="1242"/>
      <c r="X500" s="1242"/>
      <c r="Y500" s="1242"/>
    </row>
    <row r="501" spans="1:25" s="1214" customFormat="1" ht="24">
      <c r="B501" s="1092"/>
      <c r="C501" s="1184" t="s">
        <v>34</v>
      </c>
      <c r="D501" s="1440">
        <v>13</v>
      </c>
      <c r="E501" s="1105" t="s">
        <v>261</v>
      </c>
      <c r="F501" s="1258">
        <f t="shared" si="93"/>
        <v>4000</v>
      </c>
      <c r="G501" s="1258">
        <f t="shared" si="96"/>
        <v>0</v>
      </c>
      <c r="H501" s="1242"/>
      <c r="I501" s="1243"/>
      <c r="J501" s="1243"/>
      <c r="K501" s="1243"/>
      <c r="L501" s="1243"/>
      <c r="M501" s="1258">
        <f t="shared" ref="M501:M530" si="103">SUM(N501:Y501)</f>
        <v>4000</v>
      </c>
      <c r="N501" s="1242"/>
      <c r="O501" s="1242"/>
      <c r="P501" s="1242"/>
      <c r="Q501" s="1242"/>
      <c r="R501" s="1242"/>
      <c r="S501" s="1242"/>
      <c r="T501" s="1242"/>
      <c r="U501" s="1242"/>
      <c r="V501" s="1242"/>
      <c r="W501" s="1242">
        <v>4000</v>
      </c>
      <c r="X501" s="1242"/>
      <c r="Y501" s="1242"/>
    </row>
    <row r="502" spans="1:25" s="1214" customFormat="1" ht="48">
      <c r="B502" s="1092"/>
      <c r="C502" s="1184" t="s">
        <v>34</v>
      </c>
      <c r="D502" s="1440">
        <v>14</v>
      </c>
      <c r="E502" s="1105" t="s">
        <v>141</v>
      </c>
      <c r="F502" s="1258">
        <f t="shared" si="93"/>
        <v>23940</v>
      </c>
      <c r="G502" s="1258">
        <f t="shared" si="96"/>
        <v>0</v>
      </c>
      <c r="H502" s="1242"/>
      <c r="I502" s="1243"/>
      <c r="J502" s="1243"/>
      <c r="K502" s="1243"/>
      <c r="L502" s="1243"/>
      <c r="M502" s="1258">
        <f t="shared" si="103"/>
        <v>23940</v>
      </c>
      <c r="N502" s="1242">
        <v>23940</v>
      </c>
      <c r="O502" s="1242"/>
      <c r="P502" s="1242"/>
      <c r="Q502" s="1242"/>
      <c r="R502" s="1242"/>
      <c r="S502" s="1242"/>
      <c r="T502" s="1242"/>
      <c r="U502" s="1242"/>
      <c r="V502" s="1242"/>
      <c r="W502" s="1242"/>
      <c r="X502" s="1242"/>
      <c r="Y502" s="1242"/>
    </row>
    <row r="503" spans="1:25" s="1214" customFormat="1" ht="36">
      <c r="B503" s="1092"/>
      <c r="C503" s="1184" t="s">
        <v>34</v>
      </c>
      <c r="D503" s="1440">
        <v>15</v>
      </c>
      <c r="E503" s="1105" t="s">
        <v>142</v>
      </c>
      <c r="F503" s="1258">
        <f t="shared" si="93"/>
        <v>92710</v>
      </c>
      <c r="G503" s="1258">
        <f t="shared" si="96"/>
        <v>0</v>
      </c>
      <c r="H503" s="1255"/>
      <c r="I503" s="1243"/>
      <c r="J503" s="1243"/>
      <c r="K503" s="1243"/>
      <c r="L503" s="1243"/>
      <c r="M503" s="1258">
        <f t="shared" si="103"/>
        <v>92710</v>
      </c>
      <c r="N503" s="1242">
        <v>49310</v>
      </c>
      <c r="O503" s="1242"/>
      <c r="P503" s="1242"/>
      <c r="Q503" s="1242"/>
      <c r="R503" s="1242"/>
      <c r="S503" s="1242"/>
      <c r="T503" s="1242"/>
      <c r="U503" s="1242">
        <v>23600</v>
      </c>
      <c r="V503" s="1242">
        <v>16800</v>
      </c>
      <c r="W503" s="1242">
        <v>3000</v>
      </c>
      <c r="X503" s="1242"/>
      <c r="Y503" s="1242"/>
    </row>
    <row r="504" spans="1:25" s="1217" customFormat="1" ht="36">
      <c r="A504" s="1217" t="s">
        <v>807</v>
      </c>
      <c r="B504" s="1094" t="s">
        <v>269</v>
      </c>
      <c r="C504" s="1188" t="s">
        <v>1</v>
      </c>
      <c r="D504" s="1441"/>
      <c r="E504" s="1290" t="s">
        <v>263</v>
      </c>
      <c r="F504" s="1235">
        <f t="shared" si="93"/>
        <v>628435</v>
      </c>
      <c r="G504" s="1235">
        <f t="shared" si="96"/>
        <v>278900</v>
      </c>
      <c r="H504" s="1236">
        <f>SUM(H505:H505)</f>
        <v>0</v>
      </c>
      <c r="I504" s="1237">
        <f>SUM(I505:I505)</f>
        <v>278900</v>
      </c>
      <c r="J504" s="1237">
        <f>SUM(J505:J505)</f>
        <v>0</v>
      </c>
      <c r="K504" s="1237">
        <f>SUM(K505:K505)</f>
        <v>0</v>
      </c>
      <c r="L504" s="1237">
        <f>SUM(L505:L505)</f>
        <v>0</v>
      </c>
      <c r="M504" s="1235">
        <f t="shared" si="103"/>
        <v>349535</v>
      </c>
      <c r="N504" s="1236">
        <f t="shared" ref="N504:Y504" si="104">SUM(N505:N505)</f>
        <v>148500</v>
      </c>
      <c r="O504" s="1236">
        <f t="shared" si="104"/>
        <v>34000</v>
      </c>
      <c r="P504" s="1236">
        <f t="shared" si="104"/>
        <v>2000</v>
      </c>
      <c r="Q504" s="1236">
        <f t="shared" si="104"/>
        <v>0</v>
      </c>
      <c r="R504" s="1236">
        <f t="shared" si="104"/>
        <v>5880</v>
      </c>
      <c r="S504" s="1236">
        <f t="shared" si="104"/>
        <v>10000</v>
      </c>
      <c r="T504" s="1236">
        <f t="shared" si="104"/>
        <v>32715</v>
      </c>
      <c r="U504" s="1236">
        <f t="shared" si="104"/>
        <v>15520</v>
      </c>
      <c r="V504" s="1236">
        <f t="shared" si="104"/>
        <v>31720</v>
      </c>
      <c r="W504" s="1236">
        <f t="shared" si="104"/>
        <v>0</v>
      </c>
      <c r="X504" s="1236">
        <f t="shared" si="104"/>
        <v>19200</v>
      </c>
      <c r="Y504" s="1236">
        <f t="shared" si="104"/>
        <v>50000</v>
      </c>
    </row>
    <row r="505" spans="1:25" s="1145" customFormat="1" ht="48">
      <c r="B505" s="1184"/>
      <c r="C505" s="1184" t="s">
        <v>1</v>
      </c>
      <c r="D505" s="1440">
        <v>1</v>
      </c>
      <c r="E505" s="1087" t="s">
        <v>558</v>
      </c>
      <c r="F505" s="1279">
        <f t="shared" si="93"/>
        <v>628435</v>
      </c>
      <c r="G505" s="1279">
        <f t="shared" si="96"/>
        <v>278900</v>
      </c>
      <c r="H505" s="1238"/>
      <c r="I505" s="1239">
        <v>278900</v>
      </c>
      <c r="J505" s="1239"/>
      <c r="K505" s="1239"/>
      <c r="L505" s="1239"/>
      <c r="M505" s="1279">
        <f t="shared" si="103"/>
        <v>349535</v>
      </c>
      <c r="N505" s="1240">
        <v>148500</v>
      </c>
      <c r="O505" s="1244">
        <v>34000</v>
      </c>
      <c r="P505" s="1238">
        <v>2000</v>
      </c>
      <c r="Q505" s="1244"/>
      <c r="R505" s="1254">
        <v>5880</v>
      </c>
      <c r="S505" s="1238">
        <v>10000</v>
      </c>
      <c r="T505" s="1238">
        <v>32715</v>
      </c>
      <c r="U505" s="1244">
        <v>15520</v>
      </c>
      <c r="V505" s="1238">
        <v>31720</v>
      </c>
      <c r="W505" s="1244"/>
      <c r="X505" s="1244">
        <v>19200</v>
      </c>
      <c r="Y505" s="1240">
        <v>50000</v>
      </c>
    </row>
    <row r="506" spans="1:25" s="1078" customFormat="1" ht="36">
      <c r="A506" s="1078" t="s">
        <v>808</v>
      </c>
      <c r="B506" s="1094" t="s">
        <v>270</v>
      </c>
      <c r="C506" s="1188" t="s">
        <v>2</v>
      </c>
      <c r="D506" s="1441"/>
      <c r="E506" s="1290" t="s">
        <v>264</v>
      </c>
      <c r="F506" s="1235">
        <f t="shared" si="93"/>
        <v>760400</v>
      </c>
      <c r="G506" s="1235">
        <f t="shared" si="96"/>
        <v>574500</v>
      </c>
      <c r="H506" s="1236">
        <f t="shared" ref="H506:Y506" si="105">SUM(H507:H509)</f>
        <v>0</v>
      </c>
      <c r="I506" s="1237">
        <f t="shared" si="105"/>
        <v>0</v>
      </c>
      <c r="J506" s="1237">
        <f t="shared" si="105"/>
        <v>574500</v>
      </c>
      <c r="K506" s="1237">
        <f t="shared" si="105"/>
        <v>0</v>
      </c>
      <c r="L506" s="1237">
        <f t="shared" si="105"/>
        <v>0</v>
      </c>
      <c r="M506" s="1235">
        <f t="shared" si="103"/>
        <v>185900</v>
      </c>
      <c r="N506" s="1236">
        <f t="shared" si="105"/>
        <v>35380</v>
      </c>
      <c r="O506" s="1236">
        <f t="shared" si="105"/>
        <v>8400</v>
      </c>
      <c r="P506" s="1236">
        <f t="shared" si="105"/>
        <v>10000</v>
      </c>
      <c r="Q506" s="1236">
        <f t="shared" si="105"/>
        <v>11000</v>
      </c>
      <c r="R506" s="1236">
        <f t="shared" si="105"/>
        <v>46200</v>
      </c>
      <c r="S506" s="1236">
        <f t="shared" si="105"/>
        <v>9200</v>
      </c>
      <c r="T506" s="1236">
        <f t="shared" si="105"/>
        <v>11800</v>
      </c>
      <c r="U506" s="1236">
        <f t="shared" si="105"/>
        <v>10200</v>
      </c>
      <c r="V506" s="1236">
        <f t="shared" si="105"/>
        <v>10800</v>
      </c>
      <c r="W506" s="1236">
        <f t="shared" si="105"/>
        <v>10000</v>
      </c>
      <c r="X506" s="1236">
        <f t="shared" si="105"/>
        <v>12720</v>
      </c>
      <c r="Y506" s="1236">
        <f t="shared" si="105"/>
        <v>10200</v>
      </c>
    </row>
    <row r="507" spans="1:25" s="1145" customFormat="1" ht="72">
      <c r="B507" s="1218"/>
      <c r="C507" s="1184" t="s">
        <v>2</v>
      </c>
      <c r="D507" s="1440">
        <v>1</v>
      </c>
      <c r="E507" s="1219" t="s">
        <v>138</v>
      </c>
      <c r="F507" s="1279">
        <f t="shared" si="93"/>
        <v>159000</v>
      </c>
      <c r="G507" s="1279">
        <f t="shared" si="96"/>
        <v>159000</v>
      </c>
      <c r="H507" s="1254"/>
      <c r="I507" s="1253"/>
      <c r="J507" s="1253">
        <v>159000</v>
      </c>
      <c r="K507" s="1253"/>
      <c r="L507" s="1253"/>
      <c r="M507" s="1279">
        <f t="shared" si="103"/>
        <v>0</v>
      </c>
      <c r="N507" s="1270"/>
      <c r="O507" s="1270"/>
      <c r="P507" s="1270"/>
      <c r="Q507" s="1270"/>
      <c r="R507" s="1270"/>
      <c r="S507" s="1270"/>
      <c r="T507" s="1270"/>
      <c r="U507" s="1270"/>
      <c r="V507" s="1270"/>
      <c r="W507" s="1270"/>
      <c r="X507" s="1270"/>
      <c r="Y507" s="1270"/>
    </row>
    <row r="508" spans="1:25" s="1145" customFormat="1" ht="60">
      <c r="B508" s="1218"/>
      <c r="C508" s="1184" t="s">
        <v>2</v>
      </c>
      <c r="D508" s="1440">
        <v>2</v>
      </c>
      <c r="E508" s="1219" t="s">
        <v>139</v>
      </c>
      <c r="F508" s="1279">
        <f t="shared" si="93"/>
        <v>335900</v>
      </c>
      <c r="G508" s="1279">
        <f t="shared" si="96"/>
        <v>265200</v>
      </c>
      <c r="H508" s="1254"/>
      <c r="I508" s="1253"/>
      <c r="J508" s="1253">
        <v>265200</v>
      </c>
      <c r="K508" s="1253"/>
      <c r="L508" s="1253"/>
      <c r="M508" s="1279">
        <f t="shared" si="103"/>
        <v>70700</v>
      </c>
      <c r="N508" s="1244">
        <f>6200+3980</f>
        <v>10180</v>
      </c>
      <c r="O508" s="1244">
        <v>3400</v>
      </c>
      <c r="P508" s="1244">
        <v>5000</v>
      </c>
      <c r="Q508" s="1244">
        <v>6000</v>
      </c>
      <c r="R508" s="1244">
        <v>6200</v>
      </c>
      <c r="S508" s="1244">
        <v>4200</v>
      </c>
      <c r="T508" s="1244">
        <v>6800</v>
      </c>
      <c r="U508" s="1244">
        <v>5200</v>
      </c>
      <c r="V508" s="1244">
        <v>5800</v>
      </c>
      <c r="W508" s="1244">
        <v>5000</v>
      </c>
      <c r="X508" s="1244">
        <f>5200+2520</f>
        <v>7720</v>
      </c>
      <c r="Y508" s="1244">
        <v>5200</v>
      </c>
    </row>
    <row r="509" spans="1:25" s="1145" customFormat="1" ht="36">
      <c r="B509" s="1218"/>
      <c r="C509" s="1184" t="s">
        <v>2</v>
      </c>
      <c r="D509" s="1440">
        <v>3</v>
      </c>
      <c r="E509" s="1219" t="s">
        <v>140</v>
      </c>
      <c r="F509" s="1279">
        <f t="shared" si="93"/>
        <v>265500</v>
      </c>
      <c r="G509" s="1279">
        <f t="shared" si="96"/>
        <v>150300</v>
      </c>
      <c r="H509" s="1254"/>
      <c r="I509" s="1253"/>
      <c r="J509" s="1253">
        <v>150300</v>
      </c>
      <c r="K509" s="1253"/>
      <c r="L509" s="1253"/>
      <c r="M509" s="1279">
        <f t="shared" si="103"/>
        <v>115200</v>
      </c>
      <c r="N509" s="1244">
        <f>5000+20200</f>
        <v>25200</v>
      </c>
      <c r="O509" s="1244">
        <v>5000</v>
      </c>
      <c r="P509" s="1244">
        <v>5000</v>
      </c>
      <c r="Q509" s="1244">
        <v>5000</v>
      </c>
      <c r="R509" s="1244">
        <f>5000+35000</f>
        <v>40000</v>
      </c>
      <c r="S509" s="1244">
        <v>5000</v>
      </c>
      <c r="T509" s="1244">
        <v>5000</v>
      </c>
      <c r="U509" s="1244">
        <v>5000</v>
      </c>
      <c r="V509" s="1244">
        <v>5000</v>
      </c>
      <c r="W509" s="1244">
        <v>5000</v>
      </c>
      <c r="X509" s="1244">
        <v>5000</v>
      </c>
      <c r="Y509" s="1244">
        <v>5000</v>
      </c>
    </row>
    <row r="510" spans="1:25" s="1217" customFormat="1" ht="72">
      <c r="A510" s="1217" t="s">
        <v>809</v>
      </c>
      <c r="B510" s="1220" t="s">
        <v>271</v>
      </c>
      <c r="C510" s="1221" t="s">
        <v>582</v>
      </c>
      <c r="D510" s="1444"/>
      <c r="E510" s="1312" t="s">
        <v>280</v>
      </c>
      <c r="F510" s="1235">
        <f t="shared" si="93"/>
        <v>70000</v>
      </c>
      <c r="G510" s="1235">
        <f t="shared" ref="G510:G530" si="106">SUM(H510:L510)</f>
        <v>70000</v>
      </c>
      <c r="H510" s="1280">
        <f>SUM(H511:H512)</f>
        <v>0</v>
      </c>
      <c r="I510" s="1281">
        <f t="shared" ref="I510:Y510" si="107">SUM(I511:I512)</f>
        <v>0</v>
      </c>
      <c r="J510" s="1281">
        <f t="shared" si="107"/>
        <v>0</v>
      </c>
      <c r="K510" s="1281">
        <f t="shared" si="107"/>
        <v>70000</v>
      </c>
      <c r="L510" s="1281">
        <f t="shared" si="107"/>
        <v>0</v>
      </c>
      <c r="M510" s="1235">
        <f t="shared" si="103"/>
        <v>0</v>
      </c>
      <c r="N510" s="1280">
        <f t="shared" si="107"/>
        <v>0</v>
      </c>
      <c r="O510" s="1280">
        <f t="shared" si="107"/>
        <v>0</v>
      </c>
      <c r="P510" s="1280">
        <f t="shared" si="107"/>
        <v>0</v>
      </c>
      <c r="Q510" s="1280">
        <f t="shared" si="107"/>
        <v>0</v>
      </c>
      <c r="R510" s="1280">
        <f t="shared" si="107"/>
        <v>0</v>
      </c>
      <c r="S510" s="1280">
        <f t="shared" si="107"/>
        <v>0</v>
      </c>
      <c r="T510" s="1280">
        <f t="shared" si="107"/>
        <v>0</v>
      </c>
      <c r="U510" s="1280">
        <f t="shared" si="107"/>
        <v>0</v>
      </c>
      <c r="V510" s="1280">
        <f t="shared" si="107"/>
        <v>0</v>
      </c>
      <c r="W510" s="1280">
        <f t="shared" si="107"/>
        <v>0</v>
      </c>
      <c r="X510" s="1280">
        <f t="shared" si="107"/>
        <v>0</v>
      </c>
      <c r="Y510" s="1280">
        <f t="shared" si="107"/>
        <v>0</v>
      </c>
    </row>
    <row r="511" spans="1:25" s="1145" customFormat="1" ht="36">
      <c r="B511" s="1184"/>
      <c r="C511" s="1222" t="s">
        <v>582</v>
      </c>
      <c r="D511" s="1445">
        <v>1</v>
      </c>
      <c r="E511" s="1313" t="s">
        <v>288</v>
      </c>
      <c r="F511" s="1279">
        <f t="shared" si="93"/>
        <v>40000</v>
      </c>
      <c r="G511" s="1279">
        <f t="shared" si="106"/>
        <v>40000</v>
      </c>
      <c r="H511" s="1242"/>
      <c r="I511" s="1243"/>
      <c r="J511" s="1243"/>
      <c r="K511" s="1243">
        <v>40000</v>
      </c>
      <c r="L511" s="1243"/>
      <c r="M511" s="1279">
        <f t="shared" si="103"/>
        <v>0</v>
      </c>
      <c r="N511" s="1242"/>
      <c r="O511" s="1242"/>
      <c r="P511" s="1242"/>
      <c r="Q511" s="1242"/>
      <c r="R511" s="1242"/>
      <c r="S511" s="1242"/>
      <c r="T511" s="1242"/>
      <c r="U511" s="1242"/>
      <c r="V511" s="1242"/>
      <c r="W511" s="1242"/>
      <c r="X511" s="1242"/>
      <c r="Y511" s="1242"/>
    </row>
    <row r="512" spans="1:25" s="1145" customFormat="1" ht="24">
      <c r="B512" s="1184"/>
      <c r="C512" s="1222" t="s">
        <v>582</v>
      </c>
      <c r="D512" s="1445">
        <v>2</v>
      </c>
      <c r="E512" s="1313" t="s">
        <v>226</v>
      </c>
      <c r="F512" s="1279">
        <f t="shared" si="93"/>
        <v>30000</v>
      </c>
      <c r="G512" s="1279">
        <f t="shared" si="106"/>
        <v>30000</v>
      </c>
      <c r="H512" s="1242"/>
      <c r="I512" s="1243"/>
      <c r="J512" s="1243"/>
      <c r="K512" s="1243">
        <v>30000</v>
      </c>
      <c r="L512" s="1243"/>
      <c r="M512" s="1279">
        <f t="shared" si="103"/>
        <v>0</v>
      </c>
      <c r="N512" s="1242"/>
      <c r="O512" s="1242"/>
      <c r="P512" s="1242"/>
      <c r="Q512" s="1242"/>
      <c r="R512" s="1242"/>
      <c r="S512" s="1242"/>
      <c r="T512" s="1242"/>
      <c r="U512" s="1242"/>
      <c r="V512" s="1242"/>
      <c r="W512" s="1242"/>
      <c r="X512" s="1242"/>
      <c r="Y512" s="1242"/>
    </row>
    <row r="513" spans="1:25" s="1075" customFormat="1" ht="36">
      <c r="A513" s="1075">
        <v>20</v>
      </c>
      <c r="B513" s="1093">
        <v>20</v>
      </c>
      <c r="C513" s="1223"/>
      <c r="D513" s="1446"/>
      <c r="E513" s="1286" t="s">
        <v>242</v>
      </c>
      <c r="F513" s="1249">
        <f>G513+M513</f>
        <v>2245467</v>
      </c>
      <c r="G513" s="1249">
        <f>SUM(H513:L513)</f>
        <v>1511260</v>
      </c>
      <c r="H513" s="1233">
        <f>H514+H516+H522+H525</f>
        <v>50000</v>
      </c>
      <c r="I513" s="1233">
        <f t="shared" ref="I513:Y513" si="108">I514+I516+I522+I525</f>
        <v>1028240</v>
      </c>
      <c r="J513" s="1233">
        <f t="shared" si="108"/>
        <v>92540</v>
      </c>
      <c r="K513" s="1233">
        <f t="shared" si="108"/>
        <v>163280</v>
      </c>
      <c r="L513" s="1233">
        <f t="shared" si="108"/>
        <v>177200</v>
      </c>
      <c r="M513" s="1233">
        <f t="shared" si="108"/>
        <v>734207</v>
      </c>
      <c r="N513" s="1233">
        <f t="shared" si="108"/>
        <v>190173</v>
      </c>
      <c r="O513" s="1233">
        <f t="shared" si="108"/>
        <v>96440</v>
      </c>
      <c r="P513" s="1233">
        <f t="shared" si="108"/>
        <v>8476</v>
      </c>
      <c r="Q513" s="1233">
        <f t="shared" si="108"/>
        <v>62350</v>
      </c>
      <c r="R513" s="1233">
        <f t="shared" si="108"/>
        <v>74690</v>
      </c>
      <c r="S513" s="1233">
        <f t="shared" si="108"/>
        <v>36560</v>
      </c>
      <c r="T513" s="1233">
        <f t="shared" si="108"/>
        <v>23750</v>
      </c>
      <c r="U513" s="1233">
        <f t="shared" si="108"/>
        <v>61710</v>
      </c>
      <c r="V513" s="1233">
        <f t="shared" si="108"/>
        <v>31728</v>
      </c>
      <c r="W513" s="1233">
        <f t="shared" si="108"/>
        <v>18250</v>
      </c>
      <c r="X513" s="1233">
        <f t="shared" si="108"/>
        <v>34600</v>
      </c>
      <c r="Y513" s="1233">
        <f t="shared" si="108"/>
        <v>95480</v>
      </c>
    </row>
    <row r="514" spans="1:25" s="1078" customFormat="1" ht="48">
      <c r="A514" s="1078" t="s">
        <v>806</v>
      </c>
      <c r="B514" s="1224" t="s">
        <v>281</v>
      </c>
      <c r="C514" s="1225" t="s">
        <v>34</v>
      </c>
      <c r="D514" s="1447"/>
      <c r="E514" s="1290" t="s">
        <v>265</v>
      </c>
      <c r="F514" s="1235">
        <f t="shared" ref="F514:F530" si="109">G514+M514</f>
        <v>91158</v>
      </c>
      <c r="G514" s="1235">
        <f t="shared" si="106"/>
        <v>50000</v>
      </c>
      <c r="H514" s="1236">
        <f>SUM(H515:H515)</f>
        <v>50000</v>
      </c>
      <c r="I514" s="1237">
        <f>SUM(I515:I515)</f>
        <v>0</v>
      </c>
      <c r="J514" s="1237">
        <f>SUM(J515:J515)</f>
        <v>0</v>
      </c>
      <c r="K514" s="1237">
        <f>SUM(K515:K515)</f>
        <v>0</v>
      </c>
      <c r="L514" s="1237">
        <f>SUM(L515:L515)</f>
        <v>0</v>
      </c>
      <c r="M514" s="1235">
        <f t="shared" si="103"/>
        <v>41158</v>
      </c>
      <c r="N514" s="1236">
        <f t="shared" ref="N514:Y514" si="110">SUM(N515:N515)</f>
        <v>3840</v>
      </c>
      <c r="O514" s="1236">
        <f t="shared" si="110"/>
        <v>0</v>
      </c>
      <c r="P514" s="1236">
        <f t="shared" si="110"/>
        <v>1600</v>
      </c>
      <c r="Q514" s="1236">
        <f t="shared" si="110"/>
        <v>2400</v>
      </c>
      <c r="R514" s="1236">
        <f t="shared" si="110"/>
        <v>6736</v>
      </c>
      <c r="S514" s="1236">
        <f t="shared" si="110"/>
        <v>1280</v>
      </c>
      <c r="T514" s="1236">
        <f t="shared" si="110"/>
        <v>1520</v>
      </c>
      <c r="U514" s="1236">
        <f t="shared" si="110"/>
        <v>0</v>
      </c>
      <c r="V514" s="1236">
        <f t="shared" si="110"/>
        <v>10392</v>
      </c>
      <c r="W514" s="1236">
        <f t="shared" si="110"/>
        <v>8000</v>
      </c>
      <c r="X514" s="1236">
        <f t="shared" si="110"/>
        <v>0</v>
      </c>
      <c r="Y514" s="1236">
        <f t="shared" si="110"/>
        <v>5390</v>
      </c>
    </row>
    <row r="515" spans="1:25" s="1226" customFormat="1" ht="36">
      <c r="B515" s="1127"/>
      <c r="C515" s="1205" t="s">
        <v>34</v>
      </c>
      <c r="D515" s="1443">
        <v>1</v>
      </c>
      <c r="E515" s="1105" t="s">
        <v>424</v>
      </c>
      <c r="F515" s="1279">
        <f t="shared" si="109"/>
        <v>91158</v>
      </c>
      <c r="G515" s="1279">
        <f t="shared" si="106"/>
        <v>50000</v>
      </c>
      <c r="H515" s="1238">
        <v>50000</v>
      </c>
      <c r="I515" s="1239"/>
      <c r="J515" s="1239"/>
      <c r="K515" s="1239"/>
      <c r="L515" s="1239"/>
      <c r="M515" s="1279">
        <f t="shared" si="103"/>
        <v>41158</v>
      </c>
      <c r="N515" s="1238">
        <v>3840</v>
      </c>
      <c r="O515" s="1238"/>
      <c r="P515" s="1238">
        <v>1600</v>
      </c>
      <c r="Q515" s="1238">
        <v>2400</v>
      </c>
      <c r="R515" s="1238">
        <v>6736</v>
      </c>
      <c r="S515" s="1238">
        <v>1280</v>
      </c>
      <c r="T515" s="1238">
        <v>1520</v>
      </c>
      <c r="U515" s="1238"/>
      <c r="V515" s="1238">
        <v>10392</v>
      </c>
      <c r="W515" s="1238">
        <v>8000</v>
      </c>
      <c r="X515" s="1238"/>
      <c r="Y515" s="1238">
        <v>5390</v>
      </c>
    </row>
    <row r="516" spans="1:25" s="1078" customFormat="1" ht="48">
      <c r="A516" s="1078" t="s">
        <v>807</v>
      </c>
      <c r="B516" s="1107" t="s">
        <v>282</v>
      </c>
      <c r="C516" s="1227" t="s">
        <v>1</v>
      </c>
      <c r="D516" s="1448"/>
      <c r="E516" s="1290" t="s">
        <v>266</v>
      </c>
      <c r="F516" s="1235">
        <f t="shared" si="109"/>
        <v>1538731</v>
      </c>
      <c r="G516" s="1235">
        <f t="shared" si="106"/>
        <v>1028240</v>
      </c>
      <c r="H516" s="1236">
        <f>SUM(H517:H521)</f>
        <v>0</v>
      </c>
      <c r="I516" s="1237">
        <f t="shared" ref="I516:Y516" si="111">SUM(I517:I521)</f>
        <v>1028240</v>
      </c>
      <c r="J516" s="1237">
        <f t="shared" si="111"/>
        <v>0</v>
      </c>
      <c r="K516" s="1237">
        <f t="shared" si="111"/>
        <v>0</v>
      </c>
      <c r="L516" s="1237">
        <f t="shared" si="111"/>
        <v>0</v>
      </c>
      <c r="M516" s="1235">
        <f t="shared" si="103"/>
        <v>510491</v>
      </c>
      <c r="N516" s="1236">
        <f t="shared" si="111"/>
        <v>173853</v>
      </c>
      <c r="O516" s="1236">
        <f t="shared" si="111"/>
        <v>92000</v>
      </c>
      <c r="P516" s="1236">
        <f t="shared" si="111"/>
        <v>0</v>
      </c>
      <c r="Q516" s="1236">
        <f t="shared" si="111"/>
        <v>22320</v>
      </c>
      <c r="R516" s="1236">
        <f t="shared" si="111"/>
        <v>49358</v>
      </c>
      <c r="S516" s="1236">
        <f t="shared" si="111"/>
        <v>20000</v>
      </c>
      <c r="T516" s="1236">
        <f t="shared" si="111"/>
        <v>3040</v>
      </c>
      <c r="U516" s="1236">
        <f t="shared" si="111"/>
        <v>47400</v>
      </c>
      <c r="V516" s="1236">
        <f t="shared" si="111"/>
        <v>0</v>
      </c>
      <c r="W516" s="1236">
        <f t="shared" si="111"/>
        <v>0</v>
      </c>
      <c r="X516" s="1236">
        <f t="shared" si="111"/>
        <v>27520</v>
      </c>
      <c r="Y516" s="1236">
        <f t="shared" si="111"/>
        <v>75000</v>
      </c>
    </row>
    <row r="517" spans="1:25" s="1088" customFormat="1" ht="36">
      <c r="B517" s="1184"/>
      <c r="C517" s="1154" t="s">
        <v>1</v>
      </c>
      <c r="D517" s="1437">
        <v>1</v>
      </c>
      <c r="E517" s="1085" t="s">
        <v>544</v>
      </c>
      <c r="F517" s="1279">
        <f t="shared" si="109"/>
        <v>284980</v>
      </c>
      <c r="G517" s="1279">
        <f t="shared" si="106"/>
        <v>167200</v>
      </c>
      <c r="H517" s="1238"/>
      <c r="I517" s="1239">
        <v>167200</v>
      </c>
      <c r="J517" s="1239"/>
      <c r="K517" s="1239"/>
      <c r="L517" s="1239"/>
      <c r="M517" s="1279">
        <f t="shared" si="103"/>
        <v>117780</v>
      </c>
      <c r="N517" s="1238"/>
      <c r="O517" s="1238">
        <v>30000</v>
      </c>
      <c r="P517" s="1238"/>
      <c r="Q517" s="1238"/>
      <c r="R517" s="1238">
        <v>2180</v>
      </c>
      <c r="S517" s="1238">
        <v>20000</v>
      </c>
      <c r="T517" s="1238"/>
      <c r="U517" s="1238"/>
      <c r="V517" s="1238"/>
      <c r="W517" s="1238"/>
      <c r="X517" s="1238">
        <v>25600</v>
      </c>
      <c r="Y517" s="1238">
        <v>40000</v>
      </c>
    </row>
    <row r="518" spans="1:25" s="1088" customFormat="1" ht="60">
      <c r="B518" s="1184"/>
      <c r="C518" s="1154" t="s">
        <v>1</v>
      </c>
      <c r="D518" s="1437">
        <v>2</v>
      </c>
      <c r="E518" s="1085" t="s">
        <v>545</v>
      </c>
      <c r="F518" s="1279">
        <f t="shared" si="109"/>
        <v>653675</v>
      </c>
      <c r="G518" s="1279">
        <f t="shared" si="106"/>
        <v>350800</v>
      </c>
      <c r="H518" s="1238"/>
      <c r="I518" s="1239">
        <v>350800</v>
      </c>
      <c r="J518" s="1239"/>
      <c r="K518" s="1239"/>
      <c r="L518" s="1239"/>
      <c r="M518" s="1279">
        <f t="shared" si="103"/>
        <v>302875</v>
      </c>
      <c r="N518" s="1238">
        <f>53680+106020+14153</f>
        <v>173853</v>
      </c>
      <c r="O518" s="1238">
        <v>30000</v>
      </c>
      <c r="P518" s="1238"/>
      <c r="Q518" s="1238"/>
      <c r="R518" s="1238">
        <v>40582</v>
      </c>
      <c r="S518" s="1238"/>
      <c r="T518" s="1238">
        <v>3040</v>
      </c>
      <c r="U518" s="1238">
        <v>45400</v>
      </c>
      <c r="V518" s="1238"/>
      <c r="W518" s="1238"/>
      <c r="X518" s="1238"/>
      <c r="Y518" s="1238">
        <v>10000</v>
      </c>
    </row>
    <row r="519" spans="1:25" s="1088" customFormat="1" ht="36">
      <c r="B519" s="1184"/>
      <c r="C519" s="1154" t="s">
        <v>1</v>
      </c>
      <c r="D519" s="1437">
        <v>3</v>
      </c>
      <c r="E519" s="1085" t="s">
        <v>546</v>
      </c>
      <c r="F519" s="1279">
        <f t="shared" si="109"/>
        <v>63240</v>
      </c>
      <c r="G519" s="1279">
        <f t="shared" si="106"/>
        <v>61240</v>
      </c>
      <c r="H519" s="1238"/>
      <c r="I519" s="1239">
        <v>61240</v>
      </c>
      <c r="J519" s="1239"/>
      <c r="K519" s="1239"/>
      <c r="L519" s="1239"/>
      <c r="M519" s="1279">
        <f t="shared" si="103"/>
        <v>2000</v>
      </c>
      <c r="N519" s="1238"/>
      <c r="O519" s="1238">
        <v>2000</v>
      </c>
      <c r="P519" s="1238"/>
      <c r="Q519" s="1238"/>
      <c r="R519" s="1238"/>
      <c r="S519" s="1238"/>
      <c r="T519" s="1238"/>
      <c r="U519" s="1238"/>
      <c r="V519" s="1238"/>
      <c r="W519" s="1238"/>
      <c r="X519" s="1238"/>
      <c r="Y519" s="1238"/>
    </row>
    <row r="520" spans="1:25" s="1088" customFormat="1" ht="48">
      <c r="B520" s="1184"/>
      <c r="C520" s="1154" t="s">
        <v>1</v>
      </c>
      <c r="D520" s="1437">
        <v>4</v>
      </c>
      <c r="E520" s="1085" t="s">
        <v>547</v>
      </c>
      <c r="F520" s="1279">
        <f t="shared" si="109"/>
        <v>451460</v>
      </c>
      <c r="G520" s="1279">
        <f t="shared" si="106"/>
        <v>425000</v>
      </c>
      <c r="H520" s="1238"/>
      <c r="I520" s="1239">
        <v>425000</v>
      </c>
      <c r="J520" s="1239"/>
      <c r="K520" s="1239"/>
      <c r="L520" s="1239"/>
      <c r="M520" s="1279">
        <f t="shared" si="103"/>
        <v>26460</v>
      </c>
      <c r="N520" s="1238"/>
      <c r="O520" s="1238">
        <v>5000</v>
      </c>
      <c r="P520" s="1238"/>
      <c r="Q520" s="1238"/>
      <c r="R520" s="1238">
        <v>500</v>
      </c>
      <c r="S520" s="1238"/>
      <c r="T520" s="1238"/>
      <c r="U520" s="1238"/>
      <c r="V520" s="1238"/>
      <c r="W520" s="1238"/>
      <c r="X520" s="1238">
        <v>960</v>
      </c>
      <c r="Y520" s="1238">
        <v>20000</v>
      </c>
    </row>
    <row r="521" spans="1:25" s="1088" customFormat="1" ht="24">
      <c r="B521" s="1184"/>
      <c r="C521" s="1154" t="s">
        <v>1</v>
      </c>
      <c r="D521" s="1437">
        <v>5</v>
      </c>
      <c r="E521" s="1085" t="s">
        <v>548</v>
      </c>
      <c r="F521" s="1279">
        <f t="shared" si="109"/>
        <v>85376</v>
      </c>
      <c r="G521" s="1279">
        <f t="shared" si="106"/>
        <v>24000</v>
      </c>
      <c r="H521" s="1238"/>
      <c r="I521" s="1239">
        <v>24000</v>
      </c>
      <c r="J521" s="1239"/>
      <c r="K521" s="1239"/>
      <c r="L521" s="1239"/>
      <c r="M521" s="1279">
        <f t="shared" si="103"/>
        <v>61376</v>
      </c>
      <c r="N521" s="1238"/>
      <c r="O521" s="1238">
        <v>25000</v>
      </c>
      <c r="P521" s="1238"/>
      <c r="Q521" s="1238">
        <v>22320</v>
      </c>
      <c r="R521" s="1238">
        <v>6096</v>
      </c>
      <c r="S521" s="1238"/>
      <c r="T521" s="1238"/>
      <c r="U521" s="1238">
        <v>2000</v>
      </c>
      <c r="V521" s="1238"/>
      <c r="W521" s="1238"/>
      <c r="X521" s="1238">
        <v>960</v>
      </c>
      <c r="Y521" s="1238">
        <v>5000</v>
      </c>
    </row>
    <row r="522" spans="1:25" s="1217" customFormat="1" ht="48">
      <c r="A522" s="1217" t="s">
        <v>808</v>
      </c>
      <c r="B522" s="1228" t="s">
        <v>283</v>
      </c>
      <c r="C522" s="1229" t="s">
        <v>2</v>
      </c>
      <c r="D522" s="1449"/>
      <c r="E522" s="1312" t="s">
        <v>267</v>
      </c>
      <c r="F522" s="1235">
        <f t="shared" si="109"/>
        <v>452298</v>
      </c>
      <c r="G522" s="1235">
        <f t="shared" si="106"/>
        <v>269740</v>
      </c>
      <c r="H522" s="1280">
        <f>SUM(H523:H524)</f>
        <v>0</v>
      </c>
      <c r="I522" s="1281">
        <f t="shared" ref="I522:Y522" si="112">SUM(I523:I524)</f>
        <v>0</v>
      </c>
      <c r="J522" s="1281">
        <f t="shared" si="112"/>
        <v>92540</v>
      </c>
      <c r="K522" s="1281">
        <f t="shared" si="112"/>
        <v>0</v>
      </c>
      <c r="L522" s="1281">
        <f t="shared" si="112"/>
        <v>177200</v>
      </c>
      <c r="M522" s="1235">
        <f t="shared" si="103"/>
        <v>182558</v>
      </c>
      <c r="N522" s="1280">
        <f t="shared" si="112"/>
        <v>12480</v>
      </c>
      <c r="O522" s="1280">
        <f t="shared" si="112"/>
        <v>4440</v>
      </c>
      <c r="P522" s="1280">
        <f t="shared" si="112"/>
        <v>6876</v>
      </c>
      <c r="Q522" s="1280">
        <f t="shared" si="112"/>
        <v>37630</v>
      </c>
      <c r="R522" s="1280">
        <f t="shared" si="112"/>
        <v>18596</v>
      </c>
      <c r="S522" s="1280">
        <f t="shared" si="112"/>
        <v>15280</v>
      </c>
      <c r="T522" s="1280">
        <f t="shared" si="112"/>
        <v>19190</v>
      </c>
      <c r="U522" s="1280">
        <f t="shared" si="112"/>
        <v>14310</v>
      </c>
      <c r="V522" s="1280">
        <f t="shared" si="112"/>
        <v>21336</v>
      </c>
      <c r="W522" s="1280">
        <f t="shared" si="112"/>
        <v>10250</v>
      </c>
      <c r="X522" s="1280">
        <f t="shared" si="112"/>
        <v>7080</v>
      </c>
      <c r="Y522" s="1280">
        <f t="shared" si="112"/>
        <v>15090</v>
      </c>
    </row>
    <row r="523" spans="1:25" s="1088" customFormat="1" ht="48">
      <c r="B523" s="1218"/>
      <c r="C523" s="1158" t="s">
        <v>2</v>
      </c>
      <c r="D523" s="1450">
        <v>1</v>
      </c>
      <c r="E523" s="1112" t="s">
        <v>303</v>
      </c>
      <c r="F523" s="1279">
        <f t="shared" si="109"/>
        <v>208790</v>
      </c>
      <c r="G523" s="1279">
        <f t="shared" si="106"/>
        <v>92540</v>
      </c>
      <c r="H523" s="1254"/>
      <c r="I523" s="1253"/>
      <c r="J523" s="1253">
        <v>92540</v>
      </c>
      <c r="K523" s="1253"/>
      <c r="L523" s="1253"/>
      <c r="M523" s="1279">
        <f t="shared" si="103"/>
        <v>116250</v>
      </c>
      <c r="N523" s="1244">
        <v>9600</v>
      </c>
      <c r="O523" s="1244">
        <v>1440</v>
      </c>
      <c r="P523" s="1244">
        <v>5160</v>
      </c>
      <c r="Q523" s="1244">
        <f>13230+2400</f>
        <v>15630</v>
      </c>
      <c r="R523" s="1244">
        <v>11860</v>
      </c>
      <c r="S523" s="1244">
        <v>7440</v>
      </c>
      <c r="T523" s="1244">
        <v>17670</v>
      </c>
      <c r="U523" s="1244">
        <v>14310</v>
      </c>
      <c r="V523" s="1244">
        <v>11360</v>
      </c>
      <c r="W523" s="1244">
        <v>8370</v>
      </c>
      <c r="X523" s="1244">
        <v>5040</v>
      </c>
      <c r="Y523" s="1244">
        <v>8370</v>
      </c>
    </row>
    <row r="524" spans="1:25" s="1088" customFormat="1" ht="24">
      <c r="B524" s="1218"/>
      <c r="C524" s="1158" t="s">
        <v>2</v>
      </c>
      <c r="D524" s="1450">
        <v>2</v>
      </c>
      <c r="E524" s="1112" t="s">
        <v>295</v>
      </c>
      <c r="F524" s="1279">
        <f t="shared" si="109"/>
        <v>243508</v>
      </c>
      <c r="G524" s="1279">
        <f t="shared" si="106"/>
        <v>177200</v>
      </c>
      <c r="H524" s="1254"/>
      <c r="I524" s="1253"/>
      <c r="J524" s="1253"/>
      <c r="K524" s="1253"/>
      <c r="L524" s="1253">
        <v>177200</v>
      </c>
      <c r="M524" s="1279">
        <f t="shared" si="103"/>
        <v>66308</v>
      </c>
      <c r="N524" s="1254">
        <v>2880</v>
      </c>
      <c r="O524" s="1254">
        <v>3000</v>
      </c>
      <c r="P524" s="1254">
        <v>1716</v>
      </c>
      <c r="Q524" s="1254">
        <v>22000</v>
      </c>
      <c r="R524" s="1254">
        <v>6736</v>
      </c>
      <c r="S524" s="1254">
        <f>3280+4560</f>
        <v>7840</v>
      </c>
      <c r="T524" s="1254">
        <v>1520</v>
      </c>
      <c r="U524" s="1254"/>
      <c r="V524" s="1254">
        <v>9976</v>
      </c>
      <c r="W524" s="1254">
        <v>1880</v>
      </c>
      <c r="X524" s="1254">
        <v>2040</v>
      </c>
      <c r="Y524" s="1254">
        <v>6720</v>
      </c>
    </row>
    <row r="525" spans="1:25" s="1217" customFormat="1" ht="84">
      <c r="A525" s="1217" t="s">
        <v>809</v>
      </c>
      <c r="B525" s="1228" t="s">
        <v>284</v>
      </c>
      <c r="C525" s="1229" t="s">
        <v>582</v>
      </c>
      <c r="D525" s="1449"/>
      <c r="E525" s="1312" t="s">
        <v>279</v>
      </c>
      <c r="F525" s="1235">
        <f t="shared" si="109"/>
        <v>163280</v>
      </c>
      <c r="G525" s="1235">
        <f t="shared" si="106"/>
        <v>163280</v>
      </c>
      <c r="H525" s="1280">
        <f>SUM(H526:H530)</f>
        <v>0</v>
      </c>
      <c r="I525" s="1281">
        <f t="shared" ref="I525:Y525" si="113">SUM(I526:I530)</f>
        <v>0</v>
      </c>
      <c r="J525" s="1281">
        <f t="shared" si="113"/>
        <v>0</v>
      </c>
      <c r="K525" s="1281">
        <f t="shared" si="113"/>
        <v>163280</v>
      </c>
      <c r="L525" s="1281">
        <f t="shared" si="113"/>
        <v>0</v>
      </c>
      <c r="M525" s="1235">
        <f t="shared" si="103"/>
        <v>0</v>
      </c>
      <c r="N525" s="1280">
        <f t="shared" si="113"/>
        <v>0</v>
      </c>
      <c r="O525" s="1280">
        <f t="shared" si="113"/>
        <v>0</v>
      </c>
      <c r="P525" s="1280">
        <f t="shared" si="113"/>
        <v>0</v>
      </c>
      <c r="Q525" s="1280">
        <f t="shared" si="113"/>
        <v>0</v>
      </c>
      <c r="R525" s="1280">
        <f t="shared" si="113"/>
        <v>0</v>
      </c>
      <c r="S525" s="1280">
        <f t="shared" si="113"/>
        <v>0</v>
      </c>
      <c r="T525" s="1280">
        <f t="shared" si="113"/>
        <v>0</v>
      </c>
      <c r="U525" s="1280">
        <f t="shared" si="113"/>
        <v>0</v>
      </c>
      <c r="V525" s="1280">
        <f t="shared" si="113"/>
        <v>0</v>
      </c>
      <c r="W525" s="1280">
        <f t="shared" si="113"/>
        <v>0</v>
      </c>
      <c r="X525" s="1280">
        <f t="shared" si="113"/>
        <v>0</v>
      </c>
      <c r="Y525" s="1280">
        <f t="shared" si="113"/>
        <v>0</v>
      </c>
    </row>
    <row r="526" spans="1:25" s="1088" customFormat="1" ht="36">
      <c r="B526" s="1154"/>
      <c r="C526" s="1158" t="s">
        <v>582</v>
      </c>
      <c r="D526" s="1450">
        <v>1</v>
      </c>
      <c r="E526" s="1105" t="s">
        <v>225</v>
      </c>
      <c r="F526" s="1279">
        <f t="shared" si="109"/>
        <v>40000</v>
      </c>
      <c r="G526" s="1279">
        <f t="shared" si="106"/>
        <v>40000</v>
      </c>
      <c r="H526" s="1238"/>
      <c r="I526" s="1239"/>
      <c r="J526" s="1239"/>
      <c r="K526" s="1239">
        <v>40000</v>
      </c>
      <c r="L526" s="1239"/>
      <c r="M526" s="1279">
        <f t="shared" si="103"/>
        <v>0</v>
      </c>
      <c r="N526" s="1238"/>
      <c r="O526" s="1238"/>
      <c r="P526" s="1238"/>
      <c r="Q526" s="1238"/>
      <c r="R526" s="1238"/>
      <c r="S526" s="1238"/>
      <c r="T526" s="1238"/>
      <c r="U526" s="1238"/>
      <c r="V526" s="1238"/>
      <c r="W526" s="1238"/>
      <c r="X526" s="1238"/>
      <c r="Y526" s="1238"/>
    </row>
    <row r="527" spans="1:25" s="1088" customFormat="1" ht="36">
      <c r="B527" s="1154"/>
      <c r="C527" s="1158" t="s">
        <v>582</v>
      </c>
      <c r="D527" s="1450">
        <v>2</v>
      </c>
      <c r="E527" s="1105" t="s">
        <v>576</v>
      </c>
      <c r="F527" s="1279">
        <f t="shared" si="109"/>
        <v>60000</v>
      </c>
      <c r="G527" s="1279">
        <f t="shared" si="106"/>
        <v>60000</v>
      </c>
      <c r="H527" s="1240"/>
      <c r="I527" s="1239"/>
      <c r="J527" s="1239"/>
      <c r="K527" s="1239">
        <v>60000</v>
      </c>
      <c r="L527" s="1239"/>
      <c r="M527" s="1279">
        <f t="shared" si="103"/>
        <v>0</v>
      </c>
      <c r="N527" s="1240"/>
      <c r="O527" s="1240"/>
      <c r="P527" s="1240"/>
      <c r="Q527" s="1240"/>
      <c r="R527" s="1240"/>
      <c r="S527" s="1240"/>
      <c r="T527" s="1240"/>
      <c r="U527" s="1240"/>
      <c r="V527" s="1238"/>
      <c r="W527" s="1240"/>
      <c r="X527" s="1240"/>
      <c r="Y527" s="1240"/>
    </row>
    <row r="528" spans="1:25" s="1088" customFormat="1" ht="48">
      <c r="B528" s="1154"/>
      <c r="C528" s="1158" t="s">
        <v>582</v>
      </c>
      <c r="D528" s="1450">
        <v>3</v>
      </c>
      <c r="E528" s="1105" t="s">
        <v>229</v>
      </c>
      <c r="F528" s="1279">
        <f t="shared" si="109"/>
        <v>50000</v>
      </c>
      <c r="G528" s="1279">
        <f t="shared" si="106"/>
        <v>50000</v>
      </c>
      <c r="H528" s="1240"/>
      <c r="I528" s="1239"/>
      <c r="J528" s="1239"/>
      <c r="K528" s="1239">
        <v>50000</v>
      </c>
      <c r="L528" s="1239"/>
      <c r="M528" s="1279">
        <f t="shared" si="103"/>
        <v>0</v>
      </c>
      <c r="N528" s="1240"/>
      <c r="O528" s="1240"/>
      <c r="P528" s="1240"/>
      <c r="Q528" s="1240"/>
      <c r="R528" s="1240"/>
      <c r="S528" s="1240"/>
      <c r="T528" s="1240"/>
      <c r="U528" s="1240"/>
      <c r="V528" s="1238"/>
      <c r="W528" s="1240"/>
      <c r="X528" s="1240"/>
      <c r="Y528" s="1240"/>
    </row>
    <row r="529" spans="2:25" s="1088" customFormat="1" ht="48">
      <c r="B529" s="1154"/>
      <c r="C529" s="1158" t="s">
        <v>582</v>
      </c>
      <c r="D529" s="1450">
        <v>4</v>
      </c>
      <c r="E529" s="1105" t="s">
        <v>285</v>
      </c>
      <c r="F529" s="1279">
        <f t="shared" si="109"/>
        <v>5000</v>
      </c>
      <c r="G529" s="1279">
        <f t="shared" si="106"/>
        <v>5000</v>
      </c>
      <c r="H529" s="1238"/>
      <c r="I529" s="1239"/>
      <c r="J529" s="1239"/>
      <c r="K529" s="1239">
        <v>5000</v>
      </c>
      <c r="L529" s="1239">
        <v>0</v>
      </c>
      <c r="M529" s="1279">
        <f t="shared" si="103"/>
        <v>0</v>
      </c>
      <c r="N529" s="1238">
        <v>0</v>
      </c>
      <c r="O529" s="1238">
        <v>0</v>
      </c>
      <c r="P529" s="1238">
        <v>0</v>
      </c>
      <c r="Q529" s="1238">
        <v>0</v>
      </c>
      <c r="R529" s="1238">
        <v>0</v>
      </c>
      <c r="S529" s="1238">
        <v>0</v>
      </c>
      <c r="T529" s="1238">
        <v>0</v>
      </c>
      <c r="U529" s="1238">
        <v>0</v>
      </c>
      <c r="V529" s="1238">
        <v>0</v>
      </c>
      <c r="W529" s="1238">
        <v>0</v>
      </c>
      <c r="X529" s="1238">
        <v>0</v>
      </c>
      <c r="Y529" s="1238">
        <v>0</v>
      </c>
    </row>
    <row r="530" spans="2:25" s="1136" customFormat="1" ht="84">
      <c r="B530" s="1230"/>
      <c r="C530" s="1158" t="s">
        <v>582</v>
      </c>
      <c r="D530" s="1450">
        <v>5</v>
      </c>
      <c r="E530" s="1313" t="s">
        <v>577</v>
      </c>
      <c r="F530" s="1279">
        <f t="shared" si="109"/>
        <v>8280</v>
      </c>
      <c r="G530" s="1279">
        <f t="shared" si="106"/>
        <v>8280</v>
      </c>
      <c r="H530" s="1282"/>
      <c r="I530" s="1283"/>
      <c r="J530" s="1283"/>
      <c r="K530" s="1283">
        <v>8280</v>
      </c>
      <c r="L530" s="1283"/>
      <c r="M530" s="1279">
        <f t="shared" si="103"/>
        <v>0</v>
      </c>
      <c r="N530" s="1282"/>
      <c r="O530" s="1282"/>
      <c r="P530" s="1282"/>
      <c r="Q530" s="1282"/>
      <c r="R530" s="1282"/>
      <c r="S530" s="1282"/>
      <c r="T530" s="1282"/>
      <c r="U530" s="1282"/>
      <c r="V530" s="1282"/>
      <c r="W530" s="1282"/>
      <c r="X530" s="1282"/>
      <c r="Y530" s="1282"/>
    </row>
    <row r="534" spans="2:25">
      <c r="E534" s="1957"/>
      <c r="F534" s="1958"/>
      <c r="G534" s="1958"/>
      <c r="H534" s="1958"/>
      <c r="N534" s="1959"/>
      <c r="O534" s="1959"/>
      <c r="P534" s="1959"/>
      <c r="Q534" s="1959"/>
      <c r="R534" s="1959"/>
      <c r="S534" s="1959"/>
      <c r="U534" s="1959"/>
      <c r="V534" s="1959"/>
      <c r="W534" s="1959"/>
      <c r="X534" s="1959"/>
    </row>
    <row r="535" spans="2:25">
      <c r="B535" s="1057"/>
      <c r="C535" s="1057"/>
      <c r="D535" s="1057"/>
      <c r="N535" s="1959"/>
      <c r="O535" s="1959"/>
      <c r="P535" s="1959"/>
      <c r="Q535" s="1959"/>
      <c r="R535" s="1959"/>
      <c r="S535" s="1959"/>
    </row>
  </sheetData>
  <autoFilter ref="A8:BB530"/>
  <mergeCells count="12">
    <mergeCell ref="E534:H534"/>
    <mergeCell ref="N534:S534"/>
    <mergeCell ref="U534:X534"/>
    <mergeCell ref="N535:S535"/>
    <mergeCell ref="B2:Y2"/>
    <mergeCell ref="V3:Y3"/>
    <mergeCell ref="B4:B6"/>
    <mergeCell ref="C4:C6"/>
    <mergeCell ref="E4:E6"/>
    <mergeCell ref="F4:F7"/>
    <mergeCell ref="G4:L5"/>
    <mergeCell ref="M4:Y5"/>
  </mergeCells>
  <printOptions horizontalCentered="1"/>
  <pageMargins left="0" right="0" top="0.51181102362204722" bottom="0.51181102362204722" header="0.31496062992125984" footer="0.31496062992125984"/>
  <pageSetup paperSize="9" scale="5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19</vt:i4>
      </vt:variant>
    </vt:vector>
  </HeadingPairs>
  <TitlesOfParts>
    <vt:vector size="40" baseType="lpstr">
      <vt:lpstr>chi tiết 2021 Thương</vt:lpstr>
      <vt:lpstr>rà soát noi dung</vt:lpstr>
      <vt:lpstr>TH rút gọn (3)</vt:lpstr>
      <vt:lpstr>TH rút gon NVy covid (2)</vt:lpstr>
      <vt:lpstr>năm 2021 họp GĐ (phân bổ chíức)</vt:lpstr>
      <vt:lpstr>27,01,2021</vt:lpstr>
      <vt:lpstr>chi tiết (final)</vt:lpstr>
      <vt:lpstr>TH rút gon NVy covid</vt:lpstr>
      <vt:lpstr>Chi tiết</vt:lpstr>
      <vt:lpstr>TH đơn vị gửi</vt:lpstr>
      <vt:lpstr>Sheet1</vt:lpstr>
      <vt:lpstr>chi tiết 2021 9Nhi</vt:lpstr>
      <vt:lpstr>DT giao 2021</vt:lpstr>
      <vt:lpstr>chi khong thuong xuyen he du ph</vt:lpstr>
      <vt:lpstr>TH rút gọn</vt:lpstr>
      <vt:lpstr>TH rút gọn (2)</vt:lpstr>
      <vt:lpstr>Sheet4</vt:lpstr>
      <vt:lpstr>Sheet2</vt:lpstr>
      <vt:lpstr>Sheet6</vt:lpstr>
      <vt:lpstr>CHI TIET CHI CUC</vt:lpstr>
      <vt:lpstr>TUYEN HUYEN, TP</vt:lpstr>
      <vt:lpstr>'27,01,2021'!Print_Area</vt:lpstr>
      <vt:lpstr>'Chi tiết'!Print_Area</vt:lpstr>
      <vt:lpstr>'chi tiết (final)'!Print_Area</vt:lpstr>
      <vt:lpstr>'DT giao 2021'!Print_Area</vt:lpstr>
      <vt:lpstr>'rà soát noi dung'!Print_Area</vt:lpstr>
      <vt:lpstr>'TH rút gon NVy covid'!Print_Area</vt:lpstr>
      <vt:lpstr>'TH rút gon NVy covid (2)'!Print_Area</vt:lpstr>
      <vt:lpstr>'27,01,2021'!Print_Titles</vt:lpstr>
      <vt:lpstr>'chi khong thuong xuyen he du ph'!Print_Titles</vt:lpstr>
      <vt:lpstr>'CHI TIET CHI CUC'!Print_Titles</vt:lpstr>
      <vt:lpstr>'Chi tiết'!Print_Titles</vt:lpstr>
      <vt:lpstr>'chi tiết (final)'!Print_Titles</vt:lpstr>
      <vt:lpstr>'chi tiết 2021 9Nhi'!Print_Titles</vt:lpstr>
      <vt:lpstr>'năm 2021 họp GĐ (phân bổ chíức)'!Print_Titles</vt:lpstr>
      <vt:lpstr>'rà soát noi dung'!Print_Titles</vt:lpstr>
      <vt:lpstr>'TH rút gọn (2)'!Print_Titles</vt:lpstr>
      <vt:lpstr>'TH rút gọn (3)'!Print_Titles</vt:lpstr>
      <vt:lpstr>'TH rút gon NVy covid'!Print_Titles</vt:lpstr>
      <vt:lpstr>'TH rút gon NVy covid (2)'!Print_Titles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ThienIT</dc:creator>
  <cp:lastModifiedBy>Admin</cp:lastModifiedBy>
  <cp:lastPrinted>2021-08-20T07:20:18Z</cp:lastPrinted>
  <dcterms:created xsi:type="dcterms:W3CDTF">2019-08-28T10:04:26Z</dcterms:created>
  <dcterms:modified xsi:type="dcterms:W3CDTF">2022-02-22T02:38:26Z</dcterms:modified>
</cp:coreProperties>
</file>